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4376" windowHeight="12504"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<sst xmlns="http://schemas.openxmlformats.org/spreadsheetml/2006/main" count="4105" uniqueCount="3081">
  <si>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</si>
  <si>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</si>
  <si>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</si>
  <si>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</si>
  <si>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</si>
  <si>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</si>
  <si>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</si>
  <si>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</si>
  <si>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</si>
  <si>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</si>
  <si>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</si>
  <si>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</si>
  <si>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</si>
  <si>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</si>
  <si>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</si>
  <si>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</si>
  <si>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</si>
  <si>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</si>
  <si>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</si>
  <si>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</si>
  <si>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</si>
  <si>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</si>
  <si>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</si>
  <si>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</si>
  <si>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</si>
  <si>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</si>
  <si>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</si>
  <si>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</si>
  <si>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</si>
  <si>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</si>
  <si>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</si>
  <si>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</si>
  <si>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</si>
  <si>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</si>
  <si>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</si>
  <si>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</si>
  <si>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</si>
  <si>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</si>
  <si>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</si>
  <si>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</si>
  <si>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</si>
  <si>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</si>
  <si>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</si>
  <si>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</si>
  <si>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</si>
  <si>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</si>
  <si>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</si>
  <si>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</si>
  <si>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</si>
  <si>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</si>
  <si>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</si>
  <si>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</si>
  <si>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</si>
  <si>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</si>
  <si>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</si>
  <si>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</si>
  <si>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</si>
  <si>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</si>
  <si>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</si>
  <si>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</si>
  <si>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</si>
  <si>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</si>
  <si>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</si>
  <si>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</si>
  <si>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</si>
  <si>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</si>
  <si>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</si>
  <si>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</si>
  <si>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</si>
  <si>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</si>
  <si>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</si>
  <si>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</si>
  <si>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</si>
  <si>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</si>
  <si>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</si>
  <si>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</si>
  <si>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</si>
  <si>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</si>
  <si>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</si>
  <si>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</si>
  <si>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</si>
  <si>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</si>
  <si>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</si>
  <si>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</si>
  <si>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</si>
  <si>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</si>
  <si>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</si>
  <si>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</si>
  <si>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</si>
  <si>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</si>
  <si>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</si>
  <si>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</si>
  <si>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</si>
  <si>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</si>
  <si>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</si>
  <si>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</si>
  <si>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</si>
  <si>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</si>
  <si>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</si>
  <si>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</si>
  <si>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</si>
  <si>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</si>
  <si>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</si>
  <si>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</si>
  <si>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</si>
  <si>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</si>
  <si>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</si>
  <si>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</si>
  <si>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</si>
  <si>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</si>
  <si>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</si>
  <si>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</si>
  <si>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</si>
  <si>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</si>
  <si>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</si>
  <si>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</si>
  <si>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</si>
  <si>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</si>
  <si>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</si>
  <si>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</si>
  <si>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</si>
  <si>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</si>
  <si>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</si>
  <si>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</si>
  <si>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</si>
  <si>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</si>
  <si>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</si>
  <si>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</si>
  <si>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</si>
  <si>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</si>
  <si>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</si>
  <si>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</si>
  <si>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</si>
  <si>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</si>
  <si>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</si>
  <si>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</si>
  <si>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</si>
  <si>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</si>
  <si>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</si>
  <si>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</si>
  <si>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</si>
  <si>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</si>
  <si>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</si>
  <si>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</si>
  <si>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</si>
  <si>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</si>
  <si>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</si>
  <si>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</si>
  <si>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</si>
  <si>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</si>
  <si>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</si>
  <si>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</si>
  <si>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</si>
  <si>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</si>
  <si>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</si>
  <si>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</si>
  <si>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</si>
  <si>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</si>
  <si>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</si>
  <si>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</si>
  <si>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</si>
  <si>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</si>
  <si>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</si>
  <si>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</si>
  <si>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</si>
  <si>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</si>
  <si>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</si>
  <si>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</si>
  <si>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</si>
  <si>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</si>
  <si>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</si>
  <si>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</si>
  <si>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</si>
  <si>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</si>
  <si>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</si>
  <si>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</si>
  <si>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</si>
  <si>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</si>
  <si>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</si>
  <si>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</si>
  <si>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</si>
  <si>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</si>
  <si>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</si>
  <si>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</si>
  <si>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</si>
  <si>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</si>
  <si>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</si>
  <si>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</si>
  <si>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</si>
  <si>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</si>
  <si>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</si>
  <si>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</si>
  <si>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</si>
  <si>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</si>
  <si>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</si>
  <si>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</si>
  <si>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</si>
  <si>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</si>
  <si>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</si>
  <si>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</si>
  <si>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</si>
  <si>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</si>
  <si>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</si>
  <si>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</si>
  <si>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</si>
  <si>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</si>
  <si>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</si>
  <si>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</si>
  <si>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</si>
  <si>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</si>
  <si>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</si>
  <si>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</si>
  <si>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</si>
  <si>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</si>
  <si>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</si>
  <si>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</si>
  <si>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</si>
  <si>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</si>
  <si>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</si>
  <si>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</si>
  <si>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</si>
  <si>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</si>
  <si>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</si>
  <si>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</si>
  <si>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</si>
  <si>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</si>
  <si>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</si>
  <si>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</si>
  <si>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</si>
  <si>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</si>
  <si>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</si>
  <si>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</si>
  <si>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</si>
  <si>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</si>
  <si>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</si>
  <si>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</si>
  <si>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</si>
  <si>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</si>
  <si>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</si>
  <si>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</si>
  <si>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</si>
  <si>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</si>
  <si>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</si>
  <si>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</si>
  <si>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</si>
  <si>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</si>
  <si>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</si>
  <si>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</si>
  <si>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</si>
  <si>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</si>
  <si>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</si>
  <si>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</si>
  <si>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</si>
  <si>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</si>
  <si>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</si>
  <si>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</si>
  <si>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</si>
  <si>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</si>
  <si>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</si>
  <si>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</si>
  <si>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</si>
  <si>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</si>
  <si>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</si>
  <si>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</si>
  <si>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</si>
  <si>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</si>
  <si>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</si>
  <si>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</si>
  <si>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</si>
  <si>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</si>
  <si>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</si>
  <si>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</si>
  <si>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</si>
  <si>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</si>
  <si>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</si>
  <si>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</si>
  <si>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</si>
  <si>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</si>
  <si>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</si>
  <si>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</si>
  <si>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</si>
  <si>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</si>
  <si>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</si>
  <si>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</si>
  <si>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</si>
  <si>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</si>
  <si>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</si>
  <si>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</si>
  <si>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</si>
  <si>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</si>
  <si>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</si>
  <si>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</si>
  <si>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</si>
  <si>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</si>
  <si>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</si>
  <si>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</si>
  <si>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</si>
  <si>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</si>
  <si>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</si>
  <si>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</si>
  <si>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</si>
  <si>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</si>
  <si>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</si>
  <si>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</si>
  <si>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</si>
  <si>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</si>
  <si>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</si>
  <si>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</si>
  <si>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</si>
  <si>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</si>
  <si>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</si>
  <si>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</si>
  <si>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</si>
  <si>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</si>
  <si>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</si>
  <si>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</si>
  <si>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</si>
  <si>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</si>
  <si>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</si>
  <si>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</si>
  <si>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</si>
  <si>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</si>
  <si>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</si>
  <si>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</si>
  <si>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</si>
  <si>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</si>
  <si>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</si>
  <si>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</si>
  <si>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</si>
  <si>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</si>
  <si>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</si>
  <si>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</si>
  <si>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</si>
  <si>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</si>
  <si>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</si>
  <si>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</si>
  <si>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</si>
  <si>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</si>
  <si>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</si>
  <si>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</si>
  <si>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</si>
  <si>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</si>
  <si>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</si>
  <si>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</si>
  <si>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</si>
  <si>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</si>
  <si>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</si>
  <si>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</si>
  <si>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</si>
  <si>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</si>
  <si>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</si>
  <si>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</si>
  <si>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</si>
  <si>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</si>
  <si>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</si>
  <si>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</si>
  <si>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</si>
  <si>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</si>
  <si>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</si>
  <si>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</si>
  <si>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</si>
  <si>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</si>
  <si>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</si>
  <si>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</si>
  <si>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</si>
  <si>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</si>
  <si>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</si>
  <si>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</si>
  <si>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</si>
  <si>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</si>
  <si>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</si>
  <si>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</si>
  <si>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</si>
  <si>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</si>
  <si>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</si>
  <si>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</si>
  <si>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</si>
  <si>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</si>
  <si>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</si>
  <si>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</si>
  <si>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</si>
  <si>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</si>
  <si>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</si>
  <si>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</si>
  <si>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</si>
  <si>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</si>
  <si>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</si>
  <si>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</si>
  <si>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</si>
  <si>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</si>
  <si>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</si>
  <si>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</si>
  <si>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</si>
  <si>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</si>
  <si>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</si>
  <si>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</si>
  <si>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</si>
  <si>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</si>
  <si>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</si>
  <si>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</si>
  <si>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</si>
  <si>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</si>
  <si>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</si>
  <si>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</si>
  <si>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</si>
  <si>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</si>
  <si>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</si>
  <si>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</si>
  <si>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</si>
  <si>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</si>
  <si>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</si>
  <si>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</si>
  <si>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</si>
  <si>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</si>
  <si>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</si>
  <si>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</si>
  <si>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</si>
  <si>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</si>
  <si>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</si>
  <si>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</si>
  <si>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</si>
  <si>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</si>
  <si>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</si>
  <si>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</si>
  <si>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</si>
  <si>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</si>
  <si>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</si>
  <si>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</si>
  <si>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</si>
  <si>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</si>
  <si>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</si>
  <si>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</si>
  <si>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</si>
  <si>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</si>
  <si>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</si>
  <si>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</si>
  <si>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</si>
  <si>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</si>
  <si>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</si>
  <si>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</si>
  <si>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</si>
  <si>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</si>
  <si>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</si>
  <si>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</si>
  <si>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</si>
  <si>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</si>
  <si>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</si>
  <si>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</si>
  <si>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</si>
  <si>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</si>
  <si>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</si>
  <si>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</si>
  <si>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</si>
  <si>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</si>
  <si>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</si>
  <si>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</si>
  <si>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</si>
  <si>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</si>
  <si>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</si>
  <si>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</si>
  <si>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</si>
  <si>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</si>
  <si>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</si>
  <si>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</si>
  <si>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</si>
  <si>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</si>
  <si>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</si>
  <si>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</si>
  <si>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</si>
  <si>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</si>
  <si>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</si>
  <si>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</si>
  <si>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</si>
  <si>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</si>
  <si>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</si>
  <si>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</si>
  <si>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</si>
  <si>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</si>
  <si>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</si>
  <si>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</si>
  <si>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</si>
  <si>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</si>
  <si>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</si>
  <si>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</si>
  <si>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</si>
  <si>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</si>
  <si>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</si>
  <si>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</si>
  <si>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</si>
  <si>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</si>
  <si>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</si>
  <si>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</si>
  <si>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</si>
  <si>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</si>
  <si>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</si>
  <si>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</si>
  <si>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</si>
  <si>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</si>
  <si>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</si>
  <si>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</si>
  <si>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</si>
  <si>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</si>
  <si>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</si>
  <si>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</si>
  <si>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</si>
  <si>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</si>
  <si>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</si>
  <si>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</si>
  <si>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</si>
  <si>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</si>
  <si>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</si>
  <si>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</si>
  <si>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</si>
  <si>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</si>
  <si>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</si>
  <si>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</si>
  <si>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</si>
  <si>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</si>
  <si>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</si>
  <si>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</si>
  <si>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</si>
  <si>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</si>
  <si>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</si>
  <si>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</si>
  <si>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</si>
  <si>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</si>
  <si>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</si>
  <si>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</si>
  <si>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</si>
  <si>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</si>
  <si>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</si>
  <si>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</si>
  <si>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</si>
  <si>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</si>
  <si>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</si>
  <si>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</si>
  <si>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</si>
  <si>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</si>
  <si>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</si>
  <si>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</si>
  <si>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</si>
  <si>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</si>
  <si>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</si>
  <si>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</si>
  <si>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</si>
  <si>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</si>
  <si>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</si>
  <si>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</si>
  <si>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</si>
  <si>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</si>
  <si>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</si>
  <si>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</si>
  <si>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</si>
  <si>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</si>
  <si>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</si>
  <si>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</si>
  <si>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</si>
  <si>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</si>
  <si>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</si>
  <si>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</si>
  <si>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</si>
  <si>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</si>
  <si>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</si>
  <si>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</si>
  <si>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</si>
  <si>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</si>
  <si>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</si>
  <si>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</si>
  <si>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</si>
  <si>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</si>
  <si>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</si>
  <si>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</si>
  <si>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</si>
  <si>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</si>
  <si>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</si>
  <si>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</si>
  <si>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</si>
  <si>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</si>
  <si>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</si>
  <si>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</si>
  <si>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</si>
  <si>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</si>
  <si>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</si>
  <si>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</si>
  <si>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</si>
  <si>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</si>
  <si>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</si>
  <si>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</si>
  <si>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</si>
  <si>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</si>
  <si>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</si>
  <si>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</si>
  <si>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</si>
  <si>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</si>
  <si>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</si>
  <si>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</si>
  <si>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</si>
  <si>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</si>
  <si>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</si>
  <si>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</si>
  <si>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</si>
  <si>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</si>
  <si>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</si>
  <si>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</si>
  <si>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</si>
  <si>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</si>
  <si>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</si>
  <si>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</si>
  <si>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</si>
  <si>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</si>
  <si>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</si>
  <si>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</si>
  <si>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</si>
  <si>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</si>
  <si>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</si>
  <si>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</si>
  <si>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</si>
  <si>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</si>
  <si>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</si>
  <si>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</si>
  <si>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</si>
  <si>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</si>
  <si>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</si>
  <si>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</si>
  <si>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</si>
  <si>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</si>
  <si>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</si>
  <si>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</si>
  <si>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</si>
  <si>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</si>
  <si>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</si>
  <si>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</si>
  <si>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</si>
  <si>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</si>
  <si>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</si>
  <si>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</si>
  <si>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</si>
  <si>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</si>
  <si>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</si>
  <si>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</si>
  <si>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</si>
  <si>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</si>
  <si>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</si>
  <si>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</si>
  <si>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</si>
  <si>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</si>
  <si>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</si>
  <si>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</si>
  <si>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</si>
  <si>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</si>
  <si>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</si>
  <si>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</si>
  <si>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</si>
  <si>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</si>
  <si>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</si>
  <si>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</si>
  <si>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</si>
  <si>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</si>
  <si>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</si>
  <si>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</si>
  <si>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</si>
  <si>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</si>
  <si>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</si>
  <si>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</si>
  <si>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</si>
  <si>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</si>
  <si>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</si>
  <si>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</si>
  <si>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</si>
  <si>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</si>
  <si>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</si>
  <si>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</si>
  <si>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</si>
  <si>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</si>
  <si>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</si>
  <si>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</si>
  <si>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</si>
  <si>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</si>
  <si>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</si>
  <si>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</si>
  <si>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</si>
  <si>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</si>
  <si>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</si>
  <si>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</si>
  <si>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</si>
  <si>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</si>
  <si>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</si>
  <si>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</si>
  <si>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</si>
  <si>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</si>
  <si>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</si>
  <si>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</si>
  <si>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</si>
  <si>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</si>
  <si>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</si>
  <si>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</si>
  <si>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</si>
  <si>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</si>
  <si>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</si>
  <si>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</si>
  <si>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</si>
  <si>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</si>
  <si>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</si>
  <si>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</si>
  <si>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</si>
  <si>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</si>
  <si>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</si>
  <si>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</si>
  <si>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</si>
  <si>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</si>
  <si>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</si>
  <si>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</si>
  <si>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</si>
  <si>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</si>
  <si>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</si>
  <si>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</si>
  <si>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</si>
  <si>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</si>
  <si>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</si>
  <si>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</si>
  <si>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</si>
  <si>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</si>
  <si>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</si>
  <si>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</si>
  <si>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</si>
  <si>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</si>
  <si>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</si>
  <si>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</si>
  <si>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</si>
  <si>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</si>
  <si>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</si>
  <si>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</si>
  <si>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</si>
  <si>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</si>
  <si>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</si>
  <si>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</si>
  <si>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</si>
  <si>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</si>
  <si>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</si>
  <si>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</si>
  <si>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</si>
  <si>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</si>
  <si>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</si>
  <si>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</si>
  <si>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</si>
  <si>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</si>
  <si>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</si>
  <si>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</si>
  <si>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</si>
  <si>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</si>
  <si>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</si>
  <si>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</si>
  <si>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</si>
  <si>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</si>
  <si>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</si>
  <si>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</si>
  <si>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</si>
  <si>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</si>
  <si>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</si>
  <si>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</si>
  <si>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</si>
  <si>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</si>
  <si>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</si>
  <si>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</si>
  <si>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</si>
  <si>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</si>
  <si>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</si>
  <si>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</si>
  <si>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</si>
  <si>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</si>
  <si>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</si>
  <si>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</si>
  <si>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</si>
  <si>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</si>
  <si>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</si>
  <si>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</si>
  <si>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</si>
  <si>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</si>
  <si>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</si>
  <si>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</si>
  <si>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</si>
  <si>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</si>
  <si>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</si>
  <si>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</si>
  <si>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</si>
  <si>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</si>
  <si>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</si>
  <si>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</si>
  <si>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</si>
  <si>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</si>
  <si>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</si>
  <si>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</si>
  <si>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</si>
  <si>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</si>
  <si>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</si>
  <si>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</si>
  <si>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</si>
  <si>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</si>
  <si>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</si>
  <si>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</si>
  <si>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</si>
  <si>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</si>
  <si>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</si>
  <si>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</si>
  <si>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</si>
  <si>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</si>
  <si>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</si>
  <si>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</si>
  <si>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</si>
  <si>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</si>
  <si>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</si>
  <si>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</si>
  <si>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</si>
  <si>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</si>
  <si>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</si>
  <si>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</si>
  <si>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</si>
  <si>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</si>
  <si>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</si>
  <si>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</si>
  <si>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</si>
  <si>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</si>
  <si>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</si>
  <si>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</si>
  <si>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</si>
  <si>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</si>
  <si>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</si>
  <si>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</si>
  <si>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</si>
  <si>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</si>
  <si>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</si>
  <si>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</si>
  <si>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</si>
  <si>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</si>
  <si>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</si>
  <si>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</si>
  <si>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</si>
  <si>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</si>
  <si>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</si>
  <si>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</si>
  <si>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</si>
  <si>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</si>
  <si>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</si>
  <si>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</si>
  <si>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</si>
  <si>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</si>
  <si>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</si>
  <si>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</si>
  <si>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</si>
  <si>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</si>
  <si>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</si>
  <si>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</si>
  <si>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</si>
  <si>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</si>
  <si>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</si>
  <si>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</si>
  <si>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</si>
  <si>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</si>
  <si>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</si>
  <si>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</si>
  <si>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</si>
  <si>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</si>
  <si>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</si>
  <si>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</si>
  <si>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</si>
  <si>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</si>
  <si>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</si>
  <si>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</si>
  <si>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</si>
  <si>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</si>
  <si>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</si>
  <si>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</si>
  <si>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</si>
  <si>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</si>
  <si>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</si>
  <si>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</si>
  <si>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</si>
  <si>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</si>
  <si>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</si>
  <si>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</si>
  <si>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</si>
  <si>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</si>
  <si>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</si>
  <si>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</si>
  <si>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</si>
  <si>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</si>
  <si>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</si>
  <si>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</si>
  <si>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</si>
  <si>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</si>
  <si>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</si>
  <si>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</si>
  <si>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</si>
  <si>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</si>
  <si>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</si>
  <si>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</si>
  <si>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</si>
  <si>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</si>
  <si>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</si>
  <si>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</si>
  <si>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</si>
  <si>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</si>
  <si>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</si>
  <si>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</si>
  <si>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</si>
  <si>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</si>
  <si>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</si>
  <si>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</si>
  <si>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</si>
  <si>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</si>
  <si>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</si>
  <si>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</si>
  <si>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</si>
  <si>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</si>
  <si>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</si>
  <si>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</si>
  <si>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</si>
  <si>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</si>
  <si>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</si>
  <si>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</si>
  <si>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</si>
  <si>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</si>
  <si>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</si>
  <si>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</si>
  <si>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</si>
  <si>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</si>
  <si>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</si>
  <si>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</si>
  <si>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</si>
  <si>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</si>
  <si>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</si>
  <si>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</si>
  <si>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</si>
  <si>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</si>
  <si>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</si>
  <si>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</si>
  <si>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</si>
  <si>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</si>
  <si>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</si>
  <si>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</si>
  <si>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</si>
  <si>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</si>
  <si>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</si>
  <si>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</si>
  <si>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</si>
  <si>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</si>
  <si>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</si>
  <si>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</si>
  <si>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</si>
  <si>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</si>
  <si>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</si>
  <si>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</si>
  <si>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</si>
  <si>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</si>
  <si>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</si>
  <si>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</si>
  <si>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</si>
  <si>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</si>
  <si>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</si>
  <si>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</si>
  <si>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</si>
  <si>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</si>
  <si>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</si>
  <si>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</si>
  <si>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</si>
  <si>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</si>
  <si>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</si>
  <si>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</si>
  <si>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</si>
  <si>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</si>
  <si>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</si>
  <si>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</si>
  <si>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</si>
  <si>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</si>
  <si>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</si>
  <si>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</si>
  <si>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</si>
  <si>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</si>
  <si>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</si>
  <si>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</si>
  <si>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</si>
  <si>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</si>
  <si>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</si>
  <si>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</si>
  <si>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</si>
  <si>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</si>
  <si>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</si>
  <si>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</si>
  <si>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</si>
  <si>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</si>
  <si>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</si>
  <si>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</si>
  <si>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</si>
  <si>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</si>
  <si>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</si>
  <si>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</si>
  <si>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</si>
  <si>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</si>
  <si>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</si>
  <si>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</si>
  <si>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</si>
  <si>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</si>
  <si>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</si>
  <si>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</si>
  <si>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</si>
  <si>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</si>
  <si>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</si>
  <si>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</si>
  <si>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</si>
  <si>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</si>
  <si>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</si>
  <si>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</si>
  <si>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</si>
  <si>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</si>
  <si>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</si>
  <si>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</si>
  <si>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</si>
  <si>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</si>
  <si>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</si>
  <si>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</si>
  <si>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</si>
  <si>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</si>
  <si>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</si>
  <si>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</si>
  <si>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</si>
  <si>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</si>
  <si>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</si>
  <si>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</si>
  <si>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</si>
  <si>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</si>
  <si>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</si>
  <si>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</si>
  <si>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</si>
  <si>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</si>
  <si>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</si>
  <si>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</si>
  <si>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</si>
  <si>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</si>
  <si>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</si>
  <si>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</si>
  <si>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</si>
  <si>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</si>
  <si>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</si>
  <si>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</si>
  <si>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</si>
  <si>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</si>
  <si>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</si>
  <si>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</si>
  <si>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</si>
  <si>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</si>
  <si>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</si>
  <si>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</si>
  <si>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</si>
  <si>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</si>
  <si>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</si>
  <si>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</si>
  <si>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</si>
  <si>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</si>
  <si>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</si>
  <si>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</si>
  <si>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</si>
  <si>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</si>
  <si>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</si>
  <si>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</si>
  <si>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</si>
  <si>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</si>
  <si>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</si>
  <si>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</si>
  <si>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</si>
  <si>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</si>
  <si>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</si>
  <si>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</si>
  <si>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</si>
  <si>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</si>
  <si>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</si>
  <si>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</si>
  <si>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</si>
  <si>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</si>
  <si>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</si>
  <si>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</si>
  <si>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</si>
  <si>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</si>
  <si>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</si>
  <si>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</si>
  <si>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</si>
  <si>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</si>
  <si>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</si>
  <si>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</si>
  <si>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</si>
  <si>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</si>
  <si>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</si>
  <si>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</si>
  <si>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</si>
  <si>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</si>
  <si>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</si>
  <si>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</si>
  <si>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</si>
  <si>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</si>
  <si>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</si>
  <si>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</si>
  <si>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</si>
  <si>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</si>
  <si>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</si>
  <si>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</si>
  <si>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</si>
  <si>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</si>
  <si>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</si>
  <si>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</si>
  <si>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</si>
  <si>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</si>
  <si>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</si>
  <si>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</si>
  <si>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</si>
  <si>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</si>
  <si>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</si>
  <si>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</si>
  <si>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</si>
  <si>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</si>
  <si>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</si>
  <si>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</si>
  <si>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</si>
  <si>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</si>
  <si>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</si>
  <si>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</si>
  <si>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</si>
  <si>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</si>
  <si>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</si>
  <si>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</si>
  <si>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</si>
  <si>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</si>
  <si>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</si>
  <si>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</si>
  <si>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</si>
  <si>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</si>
  <si>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</si>
  <si>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</si>
  <si>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</si>
  <si>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</si>
  <si>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</si>
  <si>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</si>
  <si>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</si>
  <si>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</si>
  <si>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</si>
  <si>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</si>
  <si>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</si>
  <si>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</si>
  <si>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</si>
  <si>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</si>
  <si>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</si>
  <si>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</si>
  <si>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</si>
  <si>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</si>
  <si>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</si>
  <si>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</si>
  <si>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</si>
  <si>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</si>
  <si>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</si>
  <si>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</si>
  <si>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</si>
  <si>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</si>
  <si>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</si>
  <si>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</si>
  <si>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</si>
  <si>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</si>
  <si>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</si>
  <si>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</si>
  <si>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</si>
  <si>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</si>
  <si>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</si>
  <si>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</si>
  <si>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</si>
  <si>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</si>
  <si>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</si>
  <si>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</si>
  <si>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</si>
  <si>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</si>
  <si>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</si>
  <si>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</si>
  <si>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</si>
  <si>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</si>
  <si>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</si>
  <si>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</si>
  <si>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</si>
  <si>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</si>
  <si>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</si>
  <si>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</si>
  <si>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</si>
  <si>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</si>
  <si>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</si>
  <si>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</si>
  <si>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</si>
  <si>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</si>
  <si>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</si>
  <si>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</si>
  <si>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</si>
  <si>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</si>
  <si>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</si>
  <si>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</si>
  <si>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</si>
  <si>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</si>
  <si>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</si>
  <si>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</si>
  <si>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</si>
  <si>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</si>
  <si>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</si>
  <si>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</si>
  <si>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</si>
  <si>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</si>
  <si>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</si>
  <si>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</si>
  <si>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</si>
  <si>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</si>
  <si>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</si>
  <si>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</si>
  <si>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</si>
  <si>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</si>
  <si>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</si>
  <si>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</si>
  <si>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</si>
  <si>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</si>
  <si>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</si>
  <si>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</si>
  <si>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</si>
  <si>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</si>
  <si>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</si>
  <si>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</si>
  <si>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</si>
  <si>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</si>
  <si>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</si>
  <si>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</si>
  <si>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</si>
  <si>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</si>
  <si>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</si>
  <si>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</si>
  <si>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</si>
  <si>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</si>
  <si>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</si>
  <si>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</si>
  <si>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</si>
  <si>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</si>
  <si>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</si>
  <si>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</si>
  <si>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</si>
  <si>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</si>
  <si>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</si>
  <si>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</si>
  <si>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</si>
  <si>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</si>
  <si>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</si>
  <si>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</si>
  <si>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</si>
  <si>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</si>
  <si>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</si>
  <si>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</si>
  <si>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</si>
  <si>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</si>
  <si>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</si>
  <si>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</si>
  <si>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</si>
  <si>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</si>
  <si>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</si>
  <si>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</si>
  <si>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</si>
  <si>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</si>
  <si>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</si>
  <si>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</si>
  <si>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</si>
  <si>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</si>
  <si>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</si>
  <si>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</si>
  <si>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</si>
  <si>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</si>
  <si>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</si>
  <si>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</si>
  <si>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</si>
  <si>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</si>
  <si>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</si>
  <si>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</si>
  <si>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</si>
  <si>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</si>
  <si>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</si>
  <si>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</si>
  <si>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</si>
  <si>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</si>
  <si>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</si>
  <si>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</si>
  <si>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</si>
  <si>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</si>
  <si>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</si>
  <si>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</si>
  <si>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</si>
  <si>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</si>
  <si>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</si>
  <si>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</si>
  <si>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</si>
  <si>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</si>
  <si>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</si>
  <si>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</si>
  <si>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</si>
  <si>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</si>
  <si>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</si>
  <si>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</si>
  <si>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</si>
  <si>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</si>
  <si>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</si>
  <si>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</si>
  <si>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</si>
  <si>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</si>
  <si>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</si>
  <si>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</si>
  <si>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</si>
  <si>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</si>
  <si>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</si>
  <si>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</si>
  <si>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</si>
  <si>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</si>
  <si>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</si>
  <si>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</si>
  <si>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</si>
  <si>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</si>
  <si>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</si>
  <si>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</si>
  <si>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</si>
  <si>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</si>
  <si>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</si>
  <si>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</si>
  <si>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</si>
  <si>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</si>
  <si>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</si>
  <si>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</si>
  <si>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</si>
  <si>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</si>
  <si>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</si>
  <si>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</si>
  <si>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</si>
  <si>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</si>
  <si>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</si>
  <si>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</si>
  <si>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</si>
  <si>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</si>
  <si>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</si>
  <si>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</si>
  <si>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</si>
  <si>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</si>
  <si>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</si>
  <si>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</si>
  <si>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</si>
  <si>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</si>
  <si>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</si>
  <si>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</si>
  <si>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</si>
  <si>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</si>
  <si>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</si>
  <si>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</si>
  <si>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</si>
  <si>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</si>
  <si>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</si>
  <si>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</si>
  <si>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</si>
  <si>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</si>
  <si>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</si>
  <si>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</si>
  <si>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</si>
  <si>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</si>
  <si>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</si>
  <si>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</si>
  <si>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</si>
  <si>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</si>
  <si>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</si>
  <si>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</si>
  <si>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</si>
  <si>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</si>
  <si>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</si>
  <si>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</si>
  <si>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</si>
  <si>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</si>
  <si>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</si>
  <si>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</si>
  <si>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</si>
  <si>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</si>
  <si>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</si>
  <si>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</si>
  <si>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</si>
  <si>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</si>
  <si>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</si>
  <si>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</si>
  <si>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</si>
  <si>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</si>
  <si>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</si>
  <si>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</si>
  <si>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</si>
  <si>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</si>
  <si>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</si>
  <si>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</si>
  <si>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</si>
  <si>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</si>
  <si>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</si>
  <si>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</si>
  <si>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</si>
  <si>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</si>
  <si>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</si>
  <si>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</si>
  <si>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</si>
  <si>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</si>
  <si>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</si>
  <si>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</si>
  <si>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</si>
  <si>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</si>
  <si>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</si>
  <si>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</si>
  <si>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</si>
  <si>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</si>
  <si>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</si>
  <si>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</si>
  <si>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</si>
  <si>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</si>
  <si>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</si>
  <si>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</si>
  <si>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</si>
  <si>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</si>
  <si>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</si>
  <si>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</si>
  <si>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</si>
  <si>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</si>
  <si>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</si>
  <si>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</si>
  <si>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</si>
  <si>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</si>
  <si>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</si>
  <si>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</si>
  <si>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</si>
  <si>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</si>
  <si>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</si>
  <si>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</si>
  <si>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</si>
  <si>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</si>
  <si>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</si>
  <si>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</si>
  <si>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</si>
  <si>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</si>
  <si>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</si>
  <si>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</si>
  <si>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</si>
  <si>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</si>
  <si>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</si>
  <si>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</si>
  <si>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</si>
  <si>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</si>
  <si>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</si>
  <si>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</si>
  <si>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</si>
  <si>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</si>
  <si>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</si>
  <si>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</si>
  <si>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</si>
  <si>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</si>
  <si>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</si>
  <si>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</si>
  <si>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</si>
  <si>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</si>
  <si>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</si>
  <si>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</si>
  <si>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</si>
  <si>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</si>
  <si>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</si>
  <si>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</si>
  <si>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</si>
  <si>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</si>
  <si>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</si>
  <si>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</si>
  <si>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</si>
  <si>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</si>
  <si>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</si>
  <si>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</si>
  <si>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</si>
  <si>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</si>
  <si>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</si>
  <si>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</si>
  <si>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</si>
  <si>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</si>
  <si>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</si>
  <si>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</si>
  <si>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</si>
  <si>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</si>
  <si>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</si>
  <si>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</si>
  <si>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</si>
  <si>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</si>
  <si>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</si>
  <si>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</si>
  <si>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</si>
  <si>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</si>
  <si>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</si>
  <si>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</si>
  <si>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</si>
  <si>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</si>
  <si>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</si>
  <si>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</si>
  <si>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</si>
  <si>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</si>
  <si>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</si>
  <si>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</si>
  <si>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</si>
  <si>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</si>
  <si>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</si>
  <si>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</si>
  <si>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</si>
  <si>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</si>
  <si>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</si>
  <si>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</si>
  <si>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</si>
  <si>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</si>
  <si>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</si>
  <si>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</si>
  <si>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</si>
  <si>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</si>
  <si>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</si>
  <si>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</si>
  <si>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</si>
  <si>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</si>
  <si>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</si>
  <si>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</si>
  <si>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</si>
  <si>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</si>
  <si>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</si>
  <si>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</si>
  <si>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</si>
  <si>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</si>
  <si>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</si>
  <si>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</si>
  <si>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</si>
  <si>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</si>
  <si>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</si>
  <si>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</si>
  <si>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</si>
  <si>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</si>
  <si>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</si>
  <si>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</si>
  <si>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</si>
  <si>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</si>
  <si>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</si>
  <si>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</si>
  <si>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</si>
  <si>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</si>
  <si>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</si>
  <si>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</si>
  <si>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</si>
  <si>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</si>
  <si>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</si>
  <si>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</si>
  <si>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</si>
  <si>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</si>
  <si>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</si>
  <si>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</si>
  <si>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</si>
  <si>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</si>
  <si>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</si>
  <si>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</si>
  <si>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</si>
  <si>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</si>
  <si>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</si>
  <si>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</si>
  <si>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</si>
  <si>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</si>
  <si>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</si>
  <si>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</si>
  <si>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</si>
  <si>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</si>
  <si>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</si>
  <si>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</si>
  <si>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</si>
  <si>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</si>
  <si>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</si>
  <si>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</si>
  <si>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</si>
  <si>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</si>
  <si>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</si>
  <si>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</si>
  <si>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</si>
  <si>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</si>
  <si>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</si>
  <si>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</si>
  <si>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</si>
  <si>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</si>
  <si>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</si>
  <si>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</si>
  <si>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</si>
  <si>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</si>
  <si>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</si>
  <si>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</si>
  <si>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</si>
  <si>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</si>
  <si>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</si>
  <si>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</si>
  <si>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</si>
  <si>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</si>
  <si>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</si>
  <si>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</si>
  <si>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</si>
  <si>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</si>
  <si>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</si>
  <si>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</si>
  <si>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</si>
  <si>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</si>
  <si>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</si>
  <si>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</si>
  <si>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</si>
  <si>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</si>
  <si>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</si>
  <si>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</si>
  <si>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</si>
  <si>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</si>
  <si>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</si>
  <si>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</si>
  <si>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</si>
  <si>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</si>
  <si>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</si>
  <si>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</si>
  <si>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</si>
  <si>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</si>
  <si>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</si>
  <si>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</si>
  <si>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</si>
  <si>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</si>
  <si>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</si>
  <si>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</si>
  <si>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</si>
  <si>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</si>
  <si>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</si>
  <si>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</si>
  <si>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</si>
  <si>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</si>
  <si>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</si>
  <si>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</si>
  <si>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</si>
  <si>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</si>
  <si>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</si>
  <si>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</si>
  <si>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</si>
  <si>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</si>
  <si>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</si>
  <si>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</si>
  <si>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</si>
  <si>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</si>
  <si>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</si>
  <si>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</si>
  <si>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</si>
  <si>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</si>
  <si>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</si>
  <si>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</si>
  <si>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</si>
  <si>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</si>
  <si>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</si>
  <si>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</si>
  <si>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</si>
  <si>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</si>
  <si>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</si>
  <si>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</si>
  <si>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</si>
  <si>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</si>
  <si>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</si>
  <si>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</si>
  <si>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</si>
  <si>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</si>
  <si>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</si>
  <si>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</si>
  <si>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</si>
  <si>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</si>
  <si>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</si>
  <si>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</si>
  <si>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</si>
  <si>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</si>
  <si>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</si>
  <si>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</si>
  <si>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</si>
  <si>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</si>
  <si>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</si>
  <si>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</si>
  <si>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</si>
  <si>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</si>
  <si>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</si>
  <si>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</si>
  <si>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</si>
  <si>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</si>
  <si>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</si>
  <si>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</si>
  <si>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</si>
  <si>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</si>
  <si>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</si>
  <si>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</si>
  <si>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</si>
  <si>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</si>
  <si>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</si>
  <si>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</si>
  <si>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</si>
  <si>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</si>
  <si>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</si>
  <si>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</si>
  <si>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</si>
  <si>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</si>
  <si>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</si>
  <si>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</si>
  <si>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</si>
  <si>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</si>
  <si>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</si>
  <si>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</si>
  <si>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</si>
  <si>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</si>
  <si>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</si>
  <si>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</si>
  <si>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</si>
  <si>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</si>
  <si>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</si>
  <si>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</si>
  <si>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</si>
  <si>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</si>
  <si>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</si>
  <si>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</si>
  <si>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</si>
  <si>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</si>
  <si>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</si>
  <si>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</si>
  <si>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</si>
  <si>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</si>
  <si>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</si>
  <si>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</si>
  <si>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</si>
  <si>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</si>
  <si>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</si>
  <si>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</si>
  <si>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</si>
  <si>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</si>
  <si>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</si>
  <si>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</si>
  <si>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</si>
  <si>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</si>
  <si>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</si>
  <si>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</si>
  <si>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</si>
  <si>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</si>
  <si>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</si>
  <si>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</si>
  <si>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</si>
  <si>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</si>
  <si>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</si>
  <si>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</si>
  <si>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</si>
  <si>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</si>
  <si>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</si>
  <si>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</si>
  <si>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</si>
  <si>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</si>
  <si>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</si>
  <si>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</si>
  <si>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</si>
  <si>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</si>
  <si>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</si>
  <si>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</si>
  <si>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</si>
  <si>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</si>
  <si>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</si>
  <si>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</si>
  <si>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</si>
  <si>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</si>
  <si>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</si>
  <si>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</si>
  <si>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</si>
  <si>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</si>
  <si>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</si>
  <si>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</si>
  <si>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</si>
  <si>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</si>
  <si>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</si>
  <si>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</si>
  <si>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</si>
  <si>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</si>
  <si>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</si>
  <si>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</si>
  <si>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</si>
  <si>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</si>
  <si>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</si>
  <si>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</si>
  <si>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</si>
  <si>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</si>
  <si>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</si>
  <si>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</si>
  <si>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</si>
  <si>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</si>
  <si>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</si>
  <si>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</si>
  <si>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</si>
  <si>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</si>
  <si>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</si>
  <si>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</si>
  <si>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</si>
  <si>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</si>
  <si>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</si>
  <si>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</si>
  <si>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</si>
  <si>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</si>
  <si>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</si>
  <si>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</si>
  <si>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</si>
  <si>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</si>
  <si>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</si>
  <si>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</si>
  <si>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</si>
  <si>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</si>
  <si>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</si>
  <si>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</si>
  <si>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</si>
  <si>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</si>
  <si>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</si>
  <si>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</si>
  <si>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</si>
  <si>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</si>
  <si>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</si>
  <si>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</si>
  <si>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</si>
  <si>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</si>
  <si>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</si>
  <si>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</si>
  <si>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</si>
  <si>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</si>
  <si>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</si>
  <si>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</si>
  <si>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</si>
  <si>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</si>
  <si>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</si>
  <si>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</si>
  <si>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</si>
  <si>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</si>
  <si>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</si>
  <si>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</si>
  <si>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</si>
  <si>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</si>
  <si>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</si>
  <si>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</si>
  <si>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</si>
  <si>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</si>
  <si>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</si>
  <si>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</si>
  <si>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</si>
  <si>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</si>
  <si>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</si>
  <si>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</si>
  <si>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</si>
  <si>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</si>
  <si>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</si>
  <si>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</si>
  <si>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</si>
  <si>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</si>
  <si>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</si>
  <si>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</si>
  <si>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</si>
  <si>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</si>
  <si>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</si>
  <si>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</si>
  <si>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</si>
  <si>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</si>
  <si>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</si>
  <si>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</si>
  <si>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</si>
  <si>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</si>
  <si>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</si>
  <si>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</si>
  <si>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</si>
  <si>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</si>
  <si>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</si>
  <si>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</si>
  <si>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</si>
  <si>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</si>
  <si>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</si>
  <si>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</si>
  <si>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</si>
  <si>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</si>
  <si>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</si>
  <si>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</si>
  <si>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</si>
  <si>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</si>
  <si>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</si>
  <si>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</si>
  <si>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</si>
  <si>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</si>
  <si>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</si>
  <si>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</si>
  <si>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</si>
  <si>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</si>
  <si>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</si>
  <si>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</si>
  <si>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</si>
  <si>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</si>
  <si>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</si>
  <si>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</si>
  <si>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</si>
  <si>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</si>
  <si>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</si>
  <si>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</si>
  <si>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</si>
  <si>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</si>
  <si>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</si>
  <si>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</si>
  <si>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</si>
  <si>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</si>
  <si>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</si>
  <si>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</si>
  <si>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</si>
  <si>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</si>
  <si>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</si>
  <si>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</si>
  <si>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</si>
  <si>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</si>
  <si>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</si>
  <si>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</si>
  <si>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</si>
  <si>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</si>
  <si>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</si>
  <si>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</si>
  <si>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</si>
  <si>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</si>
  <si>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</si>
  <si>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</si>
  <si>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</si>
  <si>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</si>
  <si>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</si>
  <si>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</si>
  <si>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</si>
  <si>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</si>
  <si>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</si>
  <si>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</si>
  <si>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</si>
  <si>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</si>
  <si>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</si>
  <si>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</si>
  <si>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</si>
  <si>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</si>
  <si>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</si>
  <si>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</si>
  <si>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</si>
  <si>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</si>
  <si>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</si>
  <si>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</si>
  <si>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</si>
  <si>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</si>
  <si>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</si>
  <si>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</si>
  <si>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</si>
  <si>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</si>
  <si>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</si>
  <si>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</si>
  <si>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</si>
  <si>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</si>
  <si>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</si>
  <si>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</si>
  <si>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</si>
  <si>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</si>
  <si>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</si>
  <si>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</si>
  <si>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</si>
  <si>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</si>
  <si>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</si>
  <si>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</si>
  <si>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</si>
  <si>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</si>
  <si>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</si>
  <si>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</si>
  <si>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</si>
  <si>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</si>
  <si>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</si>
  <si>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</si>
  <si>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</si>
  <si>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</si>
  <si>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</si>
  <si>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</si>
  <si>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</si>
  <si>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</si>
  <si>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</si>
  <si>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</si>
  <si>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</si>
  <si>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</si>
  <si>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</si>
  <si>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</si>
  <si>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</si>
  <si>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</si>
  <si>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</si>
  <si>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</si>
  <si>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</si>
  <si>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</si>
  <si>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</si>
  <si>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</si>
  <si>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</si>
  <si>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</si>
  <si>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</si>
  <si>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</si>
  <si>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</si>
  <si>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</si>
  <si>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</si>
  <si>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</si>
  <si>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</si>
  <si>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</si>
  <si>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</si>
  <si>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</si>
  <si>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</si>
  <si>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</si>
  <si>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</si>
  <si>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</si>
  <si>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</si>
  <si>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</si>
  <si>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</si>
  <si>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</si>
  <si>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</si>
  <si>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</si>
  <si>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</si>
  <si>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</si>
  <si>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</si>
  <si>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</si>
  <si>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</si>
  <si>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</si>
  <si>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</si>
  <si>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</si>
  <si>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</si>
  <si>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</si>
  <si>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</si>
  <si>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</si>
  <si>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</si>
  <si>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</si>
  <si>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</si>
  <si>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</si>
  <si>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</si>
  <si>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</si>
  <si>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</si>
  <si>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</si>
  <si>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</si>
  <si>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</si>
  <si>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</si>
  <si>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</si>
  <si>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</si>
  <si>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</si>
  <si>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</si>
  <si>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</si>
  <si>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</si>
  <si>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</si>
  <si>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</si>
  <si>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</si>
  <si>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</si>
  <si>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</si>
  <si>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</si>
  <si>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</si>
  <si>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</si>
  <si>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</si>
  <si>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</si>
  <si>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</si>
  <si>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</si>
  <si>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</si>
  <si>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</si>
  <si>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</si>
  <si>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</si>
  <si>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</si>
  <si>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</si>
  <si>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</si>
  <si>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</si>
  <si>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</si>
  <si>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</si>
  <si>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</si>
  <si>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</si>
  <si>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</si>
  <si>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</si>
  <si>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</si>
  <si>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</si>
  <si>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</si>
  <si>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</si>
  <si>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</si>
  <si>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</si>
  <si>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</si>
  <si>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</si>
  <si>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</si>
  <si>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</si>
  <si>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</si>
  <si>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</si>
  <si>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</si>
  <si>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</si>
  <si>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</si>
  <si>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</si>
  <si>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</si>
  <si>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</si>
  <si>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</si>
  <si>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</si>
  <si>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</si>
  <si>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</si>
  <si>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</si>
  <si>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</si>
  <si>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</si>
  <si>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</si>
  <si>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</si>
  <si>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</si>
  <si>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</si>
  <si>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</si>
  <si>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</si>
  <si>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</si>
  <si>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</si>
  <si>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</si>
  <si>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</si>
  <si>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</si>
  <si>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</si>
  <si>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</si>
  <si>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</si>
  <si>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</si>
  <si>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</si>
  <si>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</si>
  <si>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</si>
  <si>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</si>
  <si>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</si>
  <si>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</si>
  <si>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</si>
  <si>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</si>
  <si>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</si>
  <si>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</si>
  <si>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</si>
  <si>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</si>
  <si>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</si>
  <si>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</si>
  <si>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</si>
  <si>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</si>
  <si>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</si>
  <si>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</si>
  <si>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</si>
  <si>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</si>
  <si>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</si>
  <si>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</si>
  <si>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</si>
  <si>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</si>
  <si>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</si>
  <si>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</si>
  <si>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</si>
  <si>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</si>
  <si>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</si>
  <si>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</si>
  <si>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</si>
  <si>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</si>
  <si>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</si>
  <si>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</si>
  <si>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</si>
  <si>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</si>
  <si>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</si>
  <si>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</si>
  <si>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</si>
  <si>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</si>
  <si>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</si>
  <si>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</si>
  <si>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</si>
  <si>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</si>
  <si>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</si>
  <si>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</si>
  <si>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</si>
  <si>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</si>
  <si>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</si>
  <si>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</si>
  <si>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</si>
  <si>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</si>
  <si>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</si>
  <si>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</si>
  <si>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</si>
  <si>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</si>
  <si>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</si>
  <si>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</si>
  <si>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</si>
  <si>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</si>
  <si>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</si>
  <si>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</si>
  <si>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</si>
  <si>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</si>
  <si>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</si>
  <si>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</si>
  <si>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</si>
  <si>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</si>
  <si>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</si>
  <si>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</si>
  <si>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</si>
  <si>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</si>
  <si>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</si>
  <si>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</si>
  <si>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</si>
  <si>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</si>
  <si>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</si>
  <si>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</si>
  <si>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</si>
  <si>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</si>
  <si>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</si>
  <si>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</si>
  <si>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</si>
  <si>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</si>
  <si>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</si>
  <si>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</si>
  <si>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</si>
  <si>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</si>
  <si>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</si>
  <si>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</si>
  <si>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</si>
  <si>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</si>
  <si>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</si>
  <si>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</si>
  <si>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</si>
  <si>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</si>
  <si>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</si>
  <si>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</si>
  <si>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</si>
  <si>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</si>
  <si>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</si>
  <si>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</si>
  <si>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</si>
  <si>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</si>
  <si>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</si>
  <si>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</si>
  <si>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</si>
  <si>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</si>
  <si>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</si>
  <si>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</si>
  <si>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</si>
  <si>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</si>
  <si>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</si>
  <si>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</si>
  <si>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</si>
  <si>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</si>
  <si>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</si>
  <si>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</si>
  <si>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</si>
  <si>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</si>
  <si>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</si>
  <si>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</si>
  <si>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</si>
  <si>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</si>
  <si>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</si>
  <si>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</si>
  <si>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</si>
  <si>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</si>
  <si>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</si>
  <si>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</si>
  <si>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</si>
  <si>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</si>
  <si>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</si>
  <si>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</si>
  <si>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</si>
  <si>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</si>
  <si>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</si>
  <si>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</si>
  <si>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</si>
  <si>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</si>
  <si>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</si>
  <si>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</si>
  <si>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</si>
  <si>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</si>
  <si>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</si>
  <si>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</si>
  <si>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</si>
  <si>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</si>
  <si>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</si>
  <si>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</si>
  <si>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</si>
  <si>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</si>
  <si>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</si>
  <si>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</si>
  <si>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</si>
  <si>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</si>
  <si>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</si>
  <si>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</si>
  <si>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</si>
  <si>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</si>
  <si>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</si>
  <si>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</si>
  <si>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</si>
  <si>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</si>
  <si>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</si>
  <si>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</si>
  <si>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</si>
  <si>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</si>
  <si>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</si>
  <si>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</si>
  <si>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</si>
  <si>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</si>
  <si>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</si>
  <si>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</si>
  <si>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</si>
  <si>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</si>
  <si>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</si>
  <si>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</si>
  <si>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</si>
  <si>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</si>
  <si>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</si>
  <si>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</si>
  <si>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</si>
  <si>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</si>
  <si>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</si>
  <si>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</si>
  <si>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</si>
  <si>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</si>
  <si>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</si>
  <si>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</si>
  <si>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</si>
  <si>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</si>
  <si>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</si>
  <si>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</si>
  <si>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</si>
  <si>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</si>
  <si>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</si>
  <si>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</si>
  <si>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</si>
  <si>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</si>
  <si>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</si>
  <si>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</si>
  <si>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</si>
  <si>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</si>
  <si>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</si>
  <si>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</si>
  <si>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</si>
  <si>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</si>
  <si>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</si>
  <si>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</si>
  <si>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</si>
  <si>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</si>
  <si>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</si>
  <si>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</si>
  <si>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</si>
  <si>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</si>
  <si>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</si>
  <si>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</si>
  <si>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</si>
  <si>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</si>
  <si>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</si>
  <si>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</si>
  <si>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</si>
  <si>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</si>
  <si>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</si>
  <si>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</si>
  <si>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</si>
  <si>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</si>
  <si>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</si>
  <si>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</si>
  <si>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</si>
  <si>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</si>
  <si>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</si>
  <si>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</si>
  <si>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</si>
  <si>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</si>
  <si>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</si>
  <si>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</si>
  <si>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</si>
  <si>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</si>
  <si>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</si>
  <si>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</si>
  <si>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</si>
  <si>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</si>
  <si>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</si>
  <si>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</si>
  <si>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</si>
  <si>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</si>
  <si>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</si>
  <si>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</si>
  <si>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</si>
  <si>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</si>
  <si>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</si>
  <si>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</si>
  <si>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</si>
  <si>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</si>
  <si>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</si>
  <si>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</si>
  <si>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</si>
  <si>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</si>
  <si>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</si>
  <si>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</si>
  <si>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</si>
  <si>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</si>
  <si>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</si>
  <si>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</si>
  <si>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</si>
  <si>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</si>
  <si>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</si>
  <si>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</si>
  <si>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</si>
  <si>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</si>
  <si>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</si>
  <si>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</si>
  <si>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</si>
  <si>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</si>
  <si>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</si>
  <si>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</si>
  <si>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</si>
  <si>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</si>
  <si>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</si>
  <si>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</si>
  <si>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</si>
  <si>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</si>
  <si>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</si>
  <si>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</si>
  <si>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</si>
  <si>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</si>
  <si>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</si>
  <si>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</si>
  <si>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</si>
  <si>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</si>
  <si>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</si>
  <si>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</si>
  <si>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</si>
  <si>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</si>
  <si>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</si>
  <si>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</si>
  <si>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</si>
  <si>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</si>
  <si>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</si>
  <si>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</si>
  <si>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</si>
  <si>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</si>
  <si>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</si>
  <si>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</si>
  <si>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</si>
  <si>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</si>
  <si>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</si>
  <si>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</si>
  <si>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</si>
  <si>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</si>
  <si>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</si>
  <si>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</si>
  <si>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</si>
  <si>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</si>
  <si>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</si>
  <si>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</si>
  <si>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</si>
  <si>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</si>
  <si>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</si>
  <si>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</si>
  <si>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</si>
  <si>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</si>
  <si>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</si>
  <si>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</si>
  <si>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</si>
  <si>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</si>
  <si>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</si>
  <si>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</si>
  <si>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</si>
  <si>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</si>
  <si>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</si>
  <si>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</si>
  <si>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</si>
  <si>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</si>
  <si>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</si>
  <si>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</si>
  <si>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</si>
  <si>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</si>
  <si>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</si>
  <si>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</si>
  <si>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</si>
  <si>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</si>
  <si>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</si>
  <si>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</si>
  <si>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</si>
  <si>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</si>
  <si>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</si>
  <si>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</si>
  <si>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</si>
  <si>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</si>
  <si>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</si>
  <si>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</si>
  <si>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</si>
  <si>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</si>
  <si>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</si>
  <si>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</si>
  <si>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</si>
  <si>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</si>
  <si>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</si>
  <si>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</si>
  <si>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</si>
  <si>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</si>
  <si>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</si>
  <si>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</si>
  <si>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</si>
  <si>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</si>
  <si>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</si>
  <si>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</si>
  <si>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</si>
  <si>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</si>
  <si>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</si>
  <si>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</si>
  <si>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</si>
  <si>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</si>
  <si>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</si>
  <si>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</si>
  <si>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</si>
  <si>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</si>
  <si>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</si>
  <si>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</si>
  <si>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</si>
  <si>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</si>
  <si>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</si>
  <si>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</si>
  <si>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</si>
  <si>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</si>
  <si>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</si>
  <si>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</si>
  <si>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</si>
  <si>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</si>
  <si>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</si>
  <si>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</si>
  <si>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</si>
  <si>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</si>
  <si>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</si>
  <si>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</si>
  <si>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</si>
  <si>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</si>
  <si>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</si>
  <si>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</si>
  <si>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</si>
  <si>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</si>
  <si>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</si>
  <si>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</si>
  <si>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</si>
  <si>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</si>
  <si>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</si>
  <si>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</si>
  <si>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</si>
  <si>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</si>
  <si>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</si>
  <si>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</si>
  <si>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</si>
  <si>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</si>
  <si>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</si>
  <si>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</si>
  <si>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</si>
  <si>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</si>
  <si>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</si>
  <si>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</si>
  <si>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</si>
  <si>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</si>
  <si>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</si>
  <si>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</si>
  <si>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</si>
  <si>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</si>
  <si>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</si>
  <si>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</si>
  <si>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</si>
  <si>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</si>
  <si>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</si>
  <si>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</si>
  <si>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</si>
  <si>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</si>
  <si>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</si>
  <si>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</si>
  <si>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</si>
  <si>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</si>
  <si>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</si>
  <si>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</si>
  <si>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</si>
  <si>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</si>
  <si>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</si>
  <si>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</si>
  <si>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</si>
  <si>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</si>
  <si>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</si>
  <si>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</si>
  <si>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</si>
  <si>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</si>
  <si>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</si>
  <si>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</si>
  <si>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</si>
  <si>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</si>
  <si>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</si>
  <si>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</si>
  <si>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</si>
  <si>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</si>
  <si>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</si>
  <si>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</si>
  <si>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</si>
  <si>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</si>
  <si>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</si>
  <si>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</si>
  <si>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</si>
  <si>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</si>
  <si>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</si>
  <si>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</si>
  <si>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</si>
  <si>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</si>
  <si>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</si>
  <si>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</si>
  <si>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</si>
  <si>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</si>
  <si>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</si>
  <si>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</si>
  <si>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</si>
  <si>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</si>
  <si>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</si>
  <si>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</si>
  <si>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</si>
  <si>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</si>
  <si>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</si>
  <si>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</si>
  <si>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</si>
  <si>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</si>
  <si>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</si>
  <si>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</si>
  <si>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</si>
  <si>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</si>
  <si>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</si>
  <si>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</si>
  <si>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</si>
  <si>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</si>
  <si>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</si>
  <si>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</si>
  <si>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</si>
  <si>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</si>
  <si>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</si>
  <si>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</si>
  <si>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</si>
  <si>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</si>
  <si>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</si>
  <si>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</si>
  <si>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</si>
  <si>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</si>
  <si>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</si>
  <si>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</si>
  <si>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</si>
  <si>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</si>
  <si>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</si>
  <si>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</si>
  <si>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</si>
  <si>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</si>
  <si>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</si>
  <si>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</si>
  <si>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</si>
  <si>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</si>
  <si>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</si>
  <si>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</si>
  <si>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</si>
  <si>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</si>
  <si>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</si>
  <si>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</si>
  <si>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</si>
  <si>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</si>
  <si>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</si>
  <si>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</si>
  <si>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</si>
  <si>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</si>
  <si>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</si>
  <si>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</si>
  <si>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</si>
  <si>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</si>
  <si>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</si>
  <si>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</si>
  <si>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</si>
  <si>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</si>
  <si>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</si>
  <si>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</si>
  <si>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</si>
  <si>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</si>
  <si>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</si>
  <si>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</si>
  <si>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</si>
  <si>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</si>
  <si>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</si>
  <si>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</si>
  <si>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</si>
  <si>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</si>
  <si>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</si>
  <si>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</si>
  <si>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</si>
  <si>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</si>
  <si>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</si>
  <si>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</si>
  <si>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</si>
  <si>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</si>
  <si>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</si>
  <si>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</si>
  <si>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</si>
  <si>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</si>
  <si>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</si>
  <si>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</si>
  <si>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</si>
  <si>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</si>
  <si>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</si>
  <si>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</si>
  <si>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</si>
  <si>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</si>
  <si>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</si>
  <si>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</si>
  <si>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</si>
  <si>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</si>
  <si>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</si>
  <si>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</si>
  <si>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</si>
  <si>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</si>
  <si>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</si>
  <si>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</si>
  <si>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</si>
  <si>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</si>
  <si>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</si>
  <si>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</si>
  <si>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</si>
  <si>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</si>
  <si>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</si>
  <si>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</si>
  <si>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</si>
  <si>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</si>
  <si>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</si>
  <si>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</si>
  <si>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</si>
  <si>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</si>
  <si>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</si>
  <si>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</si>
  <si>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</si>
  <si>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</si>
  <si>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</si>
  <si>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</si>
  <si>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</si>
  <si>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</si>
  <si>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</si>
  <si>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</si>
  <si>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</si>
  <si>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</si>
  <si>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</si>
  <si>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</si>
  <si>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</si>
  <si>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</si>
  <si>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</si>
  <si>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</si>
  <si>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</si>
  <si>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</si>
  <si>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</si>
  <si>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</si>
  <si>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</si>
  <si>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</si>
  <si>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</si>
  <si>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</si>
  <si>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</si>
  <si>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</si>
  <si>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</si>
  <si>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</si>
  <si>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</si>
  <si>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</si>
  <si>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</si>
  <si>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</si>
  <si>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</si>
  <si>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</si>
  <si>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</si>
  <si>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</si>
  <si>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</si>
  <si>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</si>
  <si>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</si>
  <si>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</si>
  <si>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</si>
  <si>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</si>
  <si>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</si>
  <si>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</si>
  <si>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</si>
  <si>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</si>
  <si>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</si>
  <si>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</si>
  <si>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</si>
  <si>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</si>
  <si>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</si>
  <si>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</si>
  <si>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</si>
  <si>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</si>
  <si>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</si>
  <si>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</si>
  <si>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</si>
  <si>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</si>
  <si>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</si>
  <si>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</si>
  <si>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</si>
  <si>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</si>
  <si>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</si>
  <si>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</si>
  <si>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</si>
  <si>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</si>
  <si>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</si>
  <si>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</si>
  <si>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</si>
  <si>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</si>
  <si>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</si>
  <si>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</si>
  <si>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</si>
  <si>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</si>
  <si>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</si>
  <si>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</si>
  <si>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</si>
  <si>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</si>
  <si>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</si>
  <si>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</si>
  <si>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</si>
  <si>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</si>
  <si>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</si>
  <si>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</si>
  <si>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</si>
  <si>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</si>
  <si>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</si>
  <si>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</si>
  <si>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</si>
  <si>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</si>
  <si>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</si>
  <si>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</si>
  <si>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</si>
  <si>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</si>
  <si>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</si>
  <si>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</si>
  <si>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</si>
  <si>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</si>
  <si>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</si>
  <si>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</si>
  <si>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</si>
  <si>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</si>
  <si>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</si>
  <si>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</si>
  <si>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</si>
  <si>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</si>
  <si>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</si>
  <si>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</si>
  <si>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</si>
  <si>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</si>
  <si>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</si>
  <si>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</si>
  <si>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</si>
  <si>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</si>
  <si>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</si>
  <si>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</si>
  <si>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</si>
  <si>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</si>
  <si>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</si>
  <si>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</si>
  <si>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</si>
  <si>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</si>
  <si>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</si>
  <si>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</si>
  <si>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</si>
  <si>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</si>
  <si>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</si>
  <si>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</si>
  <si>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</si>
  <si>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</si>
  <si>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</si>
  <si>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</si>
  <si>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</si>
  <si>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</si>
  <si>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</si>
  <si>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</si>
  <si>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</si>
  <si>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</si>
  <si>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</si>
  <si>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</si>
  <si>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</si>
  <si>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</si>
  <si>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</si>
  <si>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</si>
  <si>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</si>
  <si>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</si>
  <si>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</si>
  <si>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</si>
  <si>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</si>
  <si>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</si>
  <si>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</si>
  <si>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</si>
  <si>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</si>
  <si>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</si>
  <si>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</si>
  <si>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</si>
  <si>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</si>
  <si>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</si>
  <si>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</si>
  <si>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</si>
  <si>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</si>
  <si>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</si>
  <si>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</si>
  <si>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</si>
  <si>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</si>
  <si>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</si>
  <si>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</si>
  <si>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</si>
  <si>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</si>
  <si>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</si>
  <si>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</si>
  <si>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</si>
  <si>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</si>
  <si>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</si>
  <si>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</si>
  <si>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</si>
  <si>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</si>
  <si>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</si>
  <si>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</si>
  <si>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</si>
  <si>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</si>
  <si>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</si>
  <si>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</si>
  <si>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</si>
  <si>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</si>
  <si>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</si>
  <si>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</si>
  <si>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</si>
  <si>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</si>
  <si>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</si>
  <si>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</si>
  <si>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</si>
  <si>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</si>
  <si>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</si>
  <si>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</si>
  <si>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</si>
  <si>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</si>
  <si>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</si>
  <si>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</si>
  <si>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</si>
  <si>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</si>
  <si>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</si>
  <si>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</si>
  <si>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</si>
  <si>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</si>
  <si>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</si>
  <si>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</si>
  <si>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</si>
  <si>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</si>
  <si>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</si>
  <si>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</si>
  <si>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</si>
  <si>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</si>
  <si>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</si>
  <si>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</si>
  <si>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</si>
  <si>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</si>
  <si>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</si>
  <si>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</si>
  <si>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</si>
  <si>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</si>
  <si>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</si>
  <si>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</si>
  <si>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</si>
  <si>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</si>
  <si>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</si>
  <si>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</si>
  <si>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</si>
  <si>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</si>
  <si>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</si>
  <si>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</si>
  <si>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</si>
  <si>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</si>
  <si>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</si>
  <si>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</si>
  <si>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</si>
  <si>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</si>
  <si>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</si>
  <si>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</si>
  <si>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</si>
  <si>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</si>
  <si>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</si>
  <si>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</si>
  <si>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</si>
  <si>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</si>
  <si>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</si>
  <si>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</si>
  <si>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</si>
  <si>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</si>
  <si>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</si>
  <si>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</si>
  <si>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</si>
  <si>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</si>
  <si>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</si>
  <si>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</si>
  <si>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</si>
  <si>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</si>
  <si>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</si>
  <si>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</si>
  <si>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</si>
  <si>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</si>
  <si>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</si>
  <si>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</si>
  <si>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</si>
  <si>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</si>
  <si>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</si>
  <si>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</si>
  <si>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</si>
  <si>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</si>
  <si>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</si>
  <si>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</si>
  <si>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</si>
  <si>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</si>
  <si>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</si>
  <si>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</si>
  <si>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</si>
  <si>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</si>
  <si>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</si>
  <si>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</si>
  <si>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</si>
  <si>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</si>
  <si>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</si>
  <si>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</si>
  <si>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</si>
  <si>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</si>
  <si>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</si>
  <si>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</si>
  <si>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</si>
  <si>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</si>
  <si>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</si>
  <si>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</si>
  <si>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</si>
  <si>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</si>
  <si>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</si>
  <si>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</si>
  <si>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</si>
  <si>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</si>
  <si>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</si>
  <si>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</si>
  <si>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</si>
  <si>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</si>
  <si>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</si>
  <si>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</si>
  <si>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</si>
  <si>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</si>
  <si>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</si>
  <si>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</si>
  <si>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</si>
  <si>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</si>
  <si>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</si>
  <si>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</si>
  <si>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</si>
  <si>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</si>
  <si>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</si>
  <si>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</si>
  <si>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</si>
  <si>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</si>
  <si>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</si>
  <si>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</si>
  <si>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</si>
  <si>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</si>
  <si>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</si>
  <si>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</si>
  <si>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</si>
  <si>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</si>
  <si>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</si>
  <si>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</si>
  <si>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</si>
  <si>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</si>
  <si>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</si>
  <si>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</si>
  <si>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</si>
  <si>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</si>
  <si>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</si>
  <si>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</si>
  <si>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</si>
  <si>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</si>
  <si>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</si>
  <si>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</si>
  <si>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</si>
  <si>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</si>
  <si>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</si>
  <si>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</si>
  <si>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</si>
  <si>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</si>
  <si>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</si>
  <si>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</si>
  <si>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</si>
  <si>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</si>
  <si>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</si>
  <si>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</si>
  <si>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</si>
  <si>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</si>
  <si>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</si>
  <si>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</si>
  <si>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</si>
  <si>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</si>
  <si>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</si>
  <si>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</si>
  <si>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</si>
  <si>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</si>
  <si>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</si>
  <si>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</si>
  <si>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</si>
  <si>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</si>
  <si>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</si>
  <si>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</si>
  <si>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</si>
  <si>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SRANKA DEMOKRATSKE AKCIJE HRVATSKE - SDAH</t>
  </si>
  <si>
    <t>ZAGREB</t>
  </si>
  <si>
    <t>03545563</t>
  </si>
  <si>
    <t>MANDALIČINA 17</t>
  </si>
  <si>
    <t>HR9024070001100117725</t>
  </si>
  <si>
    <t>MIRSAD SREBRENIKOVIĆ</t>
  </si>
  <si>
    <t>MELIKA TESKEREDŽIĆ</t>
  </si>
  <si>
    <t>0912121140</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</si>
</sst>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43"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51" borderId="101" xfId="0" applyFont="1" applyFill="1" applyBorder="1" applyAlignment="1" applyProtection="1">
      <alignment horizontal="left" vertical="center" wrapText="1"/>
      <protection hidden="1"/>
    </xf>
    <xf numFmtId="0" fontId="84" fillId="51" borderId="36" xfId="0" applyFont="1" applyFill="1" applyBorder="1" applyAlignment="1" applyProtection="1">
      <alignment vertical="center" wrapText="1"/>
      <protection hidden="1"/>
    </xf>
    <xf numFmtId="0" fontId="84" fillId="51" borderId="102" xfId="0" applyFont="1" applyFill="1" applyBorder="1" applyAlignment="1" applyProtection="1">
      <alignment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6" borderId="101" xfId="0" applyNumberFormat="1" applyFont="1" applyFill="1" applyBorder="1" applyAlignment="1" applyProtection="1">
      <alignment horizontal="left" vertical="center"/>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6"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52" borderId="87" xfId="91" applyFont="1" applyFill="1" applyBorder="1" applyAlignment="1">
      <alignment horizontal="left" vertical="center" wrapText="1"/>
      <protection/>
    </xf>
    <xf numFmtId="0" fontId="15" fillId="52" borderId="107" xfId="0" applyFont="1" applyFill="1" applyBorder="1" applyAlignment="1">
      <alignment horizontal="left" vertical="center"/>
    </xf>
    <xf numFmtId="0" fontId="15" fillId="52"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47" borderId="122" xfId="0" applyFont="1" applyFill="1" applyBorder="1" applyAlignment="1">
      <alignment horizontal="center" vertical="center" wrapText="1"/>
    </xf>
    <xf numFmtId="0" fontId="15" fillId="47" borderId="123" xfId="0" applyFont="1" applyFill="1" applyBorder="1" applyAlignment="1">
      <alignment horizontal="center" vertical="center" wrapText="1"/>
    </xf>
    <xf numFmtId="0" fontId="15" fillId="47" borderId="124"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15" fillId="47"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47" borderId="127" xfId="91" applyFont="1" applyFill="1" applyBorder="1" applyAlignment="1">
      <alignment horizontal="center" vertical="center" wrapText="1"/>
      <protection/>
    </xf>
    <xf numFmtId="0" fontId="15" fillId="47" borderId="127" xfId="0" applyFont="1" applyFill="1" applyBorder="1" applyAlignment="1">
      <alignment horizontal="center" vertical="center" wrapText="1"/>
    </xf>
    <xf numFmtId="0" fontId="28" fillId="47" borderId="12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47"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30"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07" xfId="0" applyFont="1" applyFill="1" applyBorder="1" applyAlignment="1">
      <alignment horizontal="center" vertical="center" wrapText="1"/>
    </xf>
    <xf numFmtId="0" fontId="15" fillId="47"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25" xfId="0" applyFont="1" applyFill="1" applyBorder="1" applyAlignment="1">
      <alignment horizontal="left" vertical="center"/>
    </xf>
    <xf numFmtId="0" fontId="15" fillId="52"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Djelatnosti političkih organizacija</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GRAD ZAGREB</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3.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4.25" thickBot="1">
      <c r="B64" s="171" t="s">
        <v>2869</v>
      </c>
      <c r="C64" s="171"/>
      <c r="D64" s="447">
        <f>IF(RefStr!P4=1,IF(RefStr!D39&lt;&gt;"",RefStr!D39,""),"")</f>
      </c>
      <c r="E64" s="447"/>
      <c r="F64" s="447"/>
      <c r="G64" s="447"/>
      <c r="H64" s="447"/>
      <c r="I64" s="173"/>
      <c r="J64" s="174"/>
      <c r="K64" s="174"/>
      <c r="L64" s="174"/>
    </row>
    <row r="65" spans="2:12" s="118" customFormat="1" ht="14.25" thickBot="1">
      <c r="B65" s="386" t="s">
        <v>2870</v>
      </c>
      <c r="C65" s="386"/>
      <c r="D65" s="223">
        <f>IF(RefStr!P4=1,IF(RefStr!D41&lt;&gt;"",RefStr!D41,""),"")</f>
      </c>
      <c r="E65" s="176"/>
      <c r="F65" s="176"/>
      <c r="G65" s="176"/>
      <c r="H65" s="177"/>
      <c r="I65" s="178"/>
      <c r="J65" s="178"/>
      <c r="K65" s="179"/>
      <c r="L65" s="178"/>
    </row>
    <row r="66" spans="2:12" s="118" customFormat="1" ht="14.25" thickBot="1">
      <c r="B66" s="398" t="s">
        <v>1649</v>
      </c>
      <c r="C66" s="398"/>
      <c r="D66" s="447">
        <f>IF(RefStr!P4=1,IF(RefStr!D43&lt;&gt;"",RefStr!D43,""),"")</f>
      </c>
      <c r="E66" s="447"/>
      <c r="F66" s="447"/>
      <c r="G66" s="447"/>
      <c r="H66" s="171"/>
      <c r="I66" s="171"/>
      <c r="J66" s="171"/>
      <c r="K66" s="171"/>
      <c r="L66" s="171"/>
    </row>
    <row r="67" spans="2:12" s="118" customFormat="1" ht="14.25" thickBot="1">
      <c r="B67" s="386" t="s">
        <v>1650</v>
      </c>
      <c r="C67" s="386"/>
      <c r="D67" s="445">
        <f>IF(RefStr!P4=1,IF(RefStr!D45&lt;&gt;"",RefStr!D45,""),"")</f>
      </c>
      <c r="E67" s="445"/>
      <c r="F67" s="171"/>
      <c r="G67" s="180"/>
      <c r="H67" s="180"/>
      <c r="I67" s="180"/>
      <c r="J67" s="180"/>
      <c r="K67" s="180"/>
      <c r="L67" s="180"/>
    </row>
    <row r="68" spans="2:12" s="118" customFormat="1" ht="14.25" thickBot="1">
      <c r="B68" s="386" t="s">
        <v>41</v>
      </c>
      <c r="C68" s="386"/>
      <c r="D68" s="446">
        <f>IF(RefStr!P4=1,IF(RefStr!D47&lt;&gt;"",RefStr!D47,""),"")</f>
      </c>
      <c r="E68" s="446"/>
      <c r="F68" s="181"/>
      <c r="G68" s="181"/>
      <c r="H68" s="181"/>
      <c r="I68" s="181"/>
      <c r="J68" s="181"/>
      <c r="K68" s="180"/>
      <c r="L68" s="180"/>
    </row>
    <row r="69" spans="2:12" s="118" customFormat="1" ht="14.25" thickBot="1">
      <c r="B69" s="386" t="s">
        <v>1651</v>
      </c>
      <c r="C69" s="386"/>
      <c r="D69" s="431">
        <f>IF(RefStr!P4=1,IF(RefStr!D49&lt;&gt;"",RefStr!D49,""),"")</f>
      </c>
      <c r="E69" s="431"/>
      <c r="F69" s="431"/>
      <c r="G69" s="431"/>
      <c r="H69" s="181"/>
      <c r="I69" s="181"/>
      <c r="J69" s="181"/>
      <c r="K69" s="181"/>
      <c r="L69" s="181"/>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tabSelected="1"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610</v>
      </c>
      <c r="B1" s="535"/>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6" t="s">
        <v>2031</v>
      </c>
      <c r="D2" s="537"/>
      <c r="E2" s="537"/>
      <c r="F2" s="537"/>
      <c r="G2" s="537"/>
      <c r="H2" s="537"/>
      <c r="I2" s="537"/>
      <c r="J2" s="538"/>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31" t="s">
        <v>23</v>
      </c>
      <c r="D4" s="532"/>
      <c r="E4" s="532"/>
      <c r="F4" s="532"/>
      <c r="G4" s="532"/>
      <c r="H4" s="532"/>
      <c r="I4" s="532"/>
      <c r="J4" s="53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1" t="s">
        <v>127</v>
      </c>
      <c r="D5" s="532"/>
      <c r="E5" s="532"/>
      <c r="F5" s="532"/>
      <c r="G5" s="532"/>
      <c r="H5" s="532"/>
      <c r="I5" s="532"/>
      <c r="J5" s="53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1" t="s">
        <v>128</v>
      </c>
      <c r="D6" s="532"/>
      <c r="E6" s="532"/>
      <c r="F6" s="532"/>
      <c r="G6" s="532"/>
      <c r="H6" s="532"/>
      <c r="I6" s="532"/>
      <c r="J6" s="532"/>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3" t="s">
        <v>787</v>
      </c>
      <c r="D7" s="526"/>
      <c r="E7" s="526"/>
      <c r="F7" s="526"/>
      <c r="G7" s="526"/>
      <c r="H7" s="526"/>
      <c r="I7" s="526"/>
      <c r="J7" s="527"/>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31" t="s">
        <v>40</v>
      </c>
      <c r="D8" s="532"/>
      <c r="E8" s="532"/>
      <c r="F8" s="532"/>
      <c r="G8" s="532"/>
      <c r="H8" s="532"/>
      <c r="I8" s="532"/>
      <c r="J8" s="532"/>
      <c r="L8">
        <f>IF(OR(RefStr!D39="",RefStr!D43="",RefStr!D45=""),1,0)</f>
        <v>0</v>
      </c>
      <c r="M8">
        <v>0</v>
      </c>
    </row>
    <row r="9" spans="1:16" ht="99" customHeight="1">
      <c r="A9" s="237">
        <f t="shared" si="0"/>
        <v>6</v>
      </c>
      <c r="B9" s="219" t="str">
        <f>IF(L9=1,"Pogreška",IF(M9=1,"Upozorenje","Ispravna"))</f>
        <v>Ispravna</v>
      </c>
      <c r="C9" s="539" t="s">
        <v>1147</v>
      </c>
      <c r="D9" s="532"/>
      <c r="E9" s="532"/>
      <c r="F9" s="532"/>
      <c r="G9" s="532"/>
      <c r="H9" s="532"/>
      <c r="I9" s="532"/>
      <c r="J9" s="532"/>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9" t="s">
        <v>1759</v>
      </c>
      <c r="D10" s="540"/>
      <c r="E10" s="540"/>
      <c r="F10" s="540"/>
      <c r="G10" s="540"/>
      <c r="H10" s="540"/>
      <c r="I10" s="540"/>
      <c r="J10" s="540"/>
      <c r="L10">
        <f>MAX(N10:O10)</f>
        <v>0</v>
      </c>
      <c r="M10">
        <v>0</v>
      </c>
      <c r="N10">
        <f>IF(ISERROR(R10),0,1)</f>
        <v>0</v>
      </c>
      <c r="O10" s="245">
        <f>IF(ISERROR(Q10),0,1)</f>
        <v>0</v>
      </c>
      <c r="P10" s="246" t="str">
        <f ca="1">CELL("filename")</f>
        <v>C:\Users\Melika\Desktop\NEPROF.2018\[SDAH 2018..xls]BIL</v>
      </c>
      <c r="Q10" s="246" t="e">
        <f>FIND(".XLSX",UPPER(P10),1)</f>
        <v>#VALUE!</v>
      </c>
      <c r="R10" s="1" t="e">
        <f>FIND(".XLSM",UPPER(P10),1)</f>
        <v>#VALUE!</v>
      </c>
    </row>
    <row r="11" spans="1:13" ht="75" customHeight="1">
      <c r="A11" s="237">
        <f t="shared" si="0"/>
        <v>8</v>
      </c>
      <c r="B11" s="219" t="str">
        <f>IF(L11=1,"Pogreška",IF(M11=1,"Upozorenje","Ispravna"))</f>
        <v>Ispravna</v>
      </c>
      <c r="C11" s="531" t="s">
        <v>1768</v>
      </c>
      <c r="D11" s="532"/>
      <c r="E11" s="532"/>
      <c r="F11" s="532"/>
      <c r="G11" s="532"/>
      <c r="H11" s="532"/>
      <c r="I11" s="532"/>
      <c r="J11" s="532"/>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1" t="s">
        <v>24</v>
      </c>
      <c r="D12" s="532"/>
      <c r="E12" s="532"/>
      <c r="F12" s="532"/>
      <c r="G12" s="532"/>
      <c r="H12" s="532"/>
      <c r="I12" s="532"/>
      <c r="J12" s="532"/>
      <c r="L12">
        <f>IF(ISERROR(RefStr!I21),1,0)</f>
        <v>0</v>
      </c>
      <c r="M12">
        <f>IF(RefStr!I21=0,1,0)</f>
        <v>0</v>
      </c>
    </row>
    <row r="13" spans="1:10" ht="19.5" customHeight="1">
      <c r="A13" s="544" t="s">
        <v>342</v>
      </c>
      <c r="B13" s="545"/>
      <c r="C13" s="545"/>
      <c r="D13" s="545"/>
      <c r="E13" s="545"/>
      <c r="F13" s="545"/>
      <c r="G13" s="545"/>
      <c r="H13" s="545"/>
      <c r="I13" s="545"/>
      <c r="J13" s="529"/>
    </row>
    <row r="14" spans="1:13" ht="30" customHeight="1">
      <c r="A14" s="236">
        <f>INT(A12)+1</f>
        <v>10</v>
      </c>
      <c r="B14" s="219" t="str">
        <f t="shared" si="1"/>
        <v>Ispravna</v>
      </c>
      <c r="C14" s="531" t="s">
        <v>1474</v>
      </c>
      <c r="D14" s="532"/>
      <c r="E14" s="532"/>
      <c r="F14" s="532"/>
      <c r="G14" s="532"/>
      <c r="H14" s="532"/>
      <c r="I14" s="532"/>
      <c r="J14" s="532"/>
      <c r="L14" s="238">
        <f>IF(OR(PRRAS!J170*PRRAS!J171&lt;&gt;0,PRRAS!K170*PRRAS!K171&lt;&gt;0),1,0)</f>
        <v>0</v>
      </c>
      <c r="M14">
        <v>0</v>
      </c>
    </row>
    <row r="15" spans="1:13" ht="30" customHeight="1">
      <c r="A15" s="237">
        <f aca="true" t="shared" si="2" ref="A15:A22">INT(A14)+1</f>
        <v>11</v>
      </c>
      <c r="B15" s="219" t="str">
        <f t="shared" si="1"/>
        <v>Ispravna</v>
      </c>
      <c r="C15" s="533" t="s">
        <v>1103</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1475</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1" t="s">
        <v>1427</v>
      </c>
      <c r="D17" s="532"/>
      <c r="E17" s="532"/>
      <c r="F17" s="532"/>
      <c r="G17" s="532"/>
      <c r="H17" s="532"/>
      <c r="I17" s="532"/>
      <c r="J17" s="532"/>
      <c r="L17" s="238">
        <f>IF(PraviPod707!G37&lt;&gt;0,1,0)</f>
        <v>0</v>
      </c>
      <c r="M17">
        <v>0</v>
      </c>
    </row>
    <row r="18" spans="1:13" ht="39.75" customHeight="1">
      <c r="A18" s="237">
        <f t="shared" si="2"/>
        <v>14</v>
      </c>
      <c r="B18" s="219" t="str">
        <f>IF(L18=1,"Pogreška",IF(M18=1,"Upozorenje","Ispravna"))</f>
        <v>Ispravna</v>
      </c>
      <c r="C18" s="531" t="s">
        <v>1476</v>
      </c>
      <c r="D18" s="532"/>
      <c r="E18" s="532"/>
      <c r="F18" s="532"/>
      <c r="G18" s="532"/>
      <c r="H18" s="532"/>
      <c r="I18" s="532"/>
      <c r="J18" s="532"/>
      <c r="L18" s="238">
        <f>IF(AND(PraviPod707!G29="12",PRRAS!J179&lt;&gt;PRRAS!K176,MAX(PRRAS!J19:J194)&lt;&gt;0),1,0)</f>
        <v>0</v>
      </c>
      <c r="M18">
        <v>0</v>
      </c>
    </row>
    <row r="19" spans="1:18" ht="39.75" customHeight="1">
      <c r="A19" s="237">
        <f t="shared" si="2"/>
        <v>15</v>
      </c>
      <c r="B19" s="219" t="str">
        <f>IF(L19=1,"Pogreška",IF(M19=1,"Upozorenje","Ispravna"))</f>
        <v>Ispravna</v>
      </c>
      <c r="C19" s="531" t="s">
        <v>1477</v>
      </c>
      <c r="D19" s="532"/>
      <c r="E19" s="532"/>
      <c r="F19" s="532"/>
      <c r="G19" s="532"/>
      <c r="H19" s="532"/>
      <c r="I19" s="532"/>
      <c r="J19" s="532"/>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1" t="s">
        <v>1478</v>
      </c>
      <c r="D20" s="532"/>
      <c r="E20" s="532"/>
      <c r="F20" s="532"/>
      <c r="G20" s="532"/>
      <c r="H20" s="532"/>
      <c r="I20" s="532"/>
      <c r="J20" s="532"/>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1" t="s">
        <v>1479</v>
      </c>
      <c r="D21" s="532"/>
      <c r="E21" s="532"/>
      <c r="F21" s="532"/>
      <c r="G21" s="532"/>
      <c r="H21" s="532"/>
      <c r="I21" s="532"/>
      <c r="J21" s="532"/>
      <c r="L21" s="28">
        <v>0</v>
      </c>
      <c r="M21" s="238">
        <f>IF(OR(PRRAS!J180&gt;1000,PRRAS!K180&gt;1000,PRRAS!J181&gt;1000,PRRAS!K181&gt;1000),1,0)</f>
        <v>0</v>
      </c>
    </row>
    <row r="22" spans="1:17" ht="49.5" customHeight="1">
      <c r="A22" s="237">
        <f t="shared" si="2"/>
        <v>18</v>
      </c>
      <c r="B22" s="219" t="str">
        <f>IF(L22=1,"Pogreška",IF(M22=1,"Upozorenje","Ispravna"))</f>
        <v>Ispravna</v>
      </c>
      <c r="C22" s="531" t="s">
        <v>1480</v>
      </c>
      <c r="D22" s="532"/>
      <c r="E22" s="532"/>
      <c r="F22" s="532"/>
      <c r="G22" s="532"/>
      <c r="H22" s="532"/>
      <c r="I22" s="532"/>
      <c r="J22" s="532"/>
      <c r="K22" s="10"/>
      <c r="L22">
        <v>0</v>
      </c>
      <c r="M22" s="238">
        <f>IF(OR(N22&lt;&gt;P22,O22&lt;&gt;Q22),1,0)</f>
        <v>0</v>
      </c>
      <c r="N22" s="1">
        <f>IF(AND(PRRAS!K181=0,PRRAS!K180=0),0,1)</f>
        <v>0</v>
      </c>
      <c r="O22" s="1">
        <f>IF(AND(PRRAS!J181=0,PRRAS!J180=0),0,1)</f>
        <v>0</v>
      </c>
      <c r="P22" s="1">
        <f>IF(PRRAS!K74=0,0,1)</f>
        <v>0</v>
      </c>
      <c r="Q22" s="1">
        <f>IF(PRRAS!J74=0,0,1)</f>
        <v>0</v>
      </c>
    </row>
    <row r="23" spans="1:10" ht="19.5" customHeight="1">
      <c r="A23" s="544" t="s">
        <v>344</v>
      </c>
      <c r="B23" s="545"/>
      <c r="C23" s="545"/>
      <c r="D23" s="545"/>
      <c r="E23" s="545"/>
      <c r="F23" s="545"/>
      <c r="G23" s="545"/>
      <c r="H23" s="545"/>
      <c r="I23" s="545"/>
      <c r="J23" s="529"/>
    </row>
    <row r="24" spans="1:15" ht="31.5" customHeight="1">
      <c r="A24" s="236">
        <f>INT(A22)+1</f>
        <v>19</v>
      </c>
      <c r="B24" s="219" t="str">
        <f>IF(L24=1,"Pogreška",IF(M24=1,"Upozorenje","Ispravna"))</f>
        <v>Ispravna</v>
      </c>
      <c r="C24" s="533" t="s">
        <v>666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3" t="s">
        <v>2579</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1" t="s">
        <v>1427</v>
      </c>
      <c r="D26" s="532"/>
      <c r="E26" s="532"/>
      <c r="F26" s="532"/>
      <c r="G26" s="532"/>
      <c r="H26" s="532"/>
      <c r="I26" s="532"/>
      <c r="J26" s="532"/>
      <c r="L26" s="238">
        <f>IF(PraviPod708!G47&lt;&gt;0,1,0)</f>
        <v>0</v>
      </c>
      <c r="M26">
        <v>0</v>
      </c>
    </row>
    <row r="27" spans="1:13" ht="30" customHeight="1">
      <c r="A27" s="237">
        <f>INT(A26)+1</f>
        <v>22</v>
      </c>
      <c r="B27" s="219" t="str">
        <f>IF(L27=1,"Pogreška",IF(M27=1,"Upozorenje","Ispravna"))</f>
        <v>Ispravna</v>
      </c>
      <c r="C27" s="533" t="s">
        <v>2580</v>
      </c>
      <c r="D27" s="526"/>
      <c r="E27" s="526"/>
      <c r="F27" s="526"/>
      <c r="G27" s="526"/>
      <c r="H27" s="526"/>
      <c r="I27" s="526"/>
      <c r="J27" s="527"/>
      <c r="K27" s="10"/>
      <c r="L27" s="238">
        <f>IF(MIN(BIL!J19:K162,BIL!J164:K213,BIL!J215:K219,BIL!J221:K222)&lt;0,1,0)</f>
        <v>0</v>
      </c>
      <c r="M27">
        <v>0</v>
      </c>
    </row>
    <row r="28" spans="1:10" ht="19.5" customHeight="1">
      <c r="A28" s="528" t="s">
        <v>884</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1" t="s">
        <v>362</v>
      </c>
      <c r="D29" s="532"/>
      <c r="E29" s="532"/>
      <c r="F29" s="532"/>
      <c r="G29" s="532"/>
      <c r="H29" s="532"/>
      <c r="I29" s="532"/>
      <c r="J29" s="532"/>
      <c r="L29" s="238">
        <f>IF(GPRIZNPF!J33&gt;=230000,1,0)</f>
        <v>0</v>
      </c>
      <c r="M29" s="238">
        <f>IF(GPRIZNPF!K33&gt;=230000,1,0)</f>
        <v>0</v>
      </c>
      <c r="N29" s="10"/>
    </row>
    <row r="30" spans="1:14" ht="29.25" customHeight="1">
      <c r="A30" s="237">
        <f>INT(A29)+1</f>
        <v>24</v>
      </c>
      <c r="B30" s="219" t="str">
        <f t="shared" si="3"/>
        <v>Ispravna</v>
      </c>
      <c r="C30" s="531" t="s">
        <v>2143</v>
      </c>
      <c r="D30" s="532"/>
      <c r="E30" s="532"/>
      <c r="F30" s="532"/>
      <c r="G30" s="532"/>
      <c r="H30" s="532"/>
      <c r="I30" s="532"/>
      <c r="J30" s="532"/>
      <c r="L30" s="238">
        <f>IF(N30&lt;0,1,0)</f>
        <v>0</v>
      </c>
      <c r="M30">
        <v>0</v>
      </c>
      <c r="N30" s="10">
        <f>MIN(GPRIZNPF!J19:K47,GPRIZNPF!J49:K60)</f>
        <v>0</v>
      </c>
    </row>
    <row r="31" spans="1:15" ht="49.5" customHeight="1">
      <c r="A31" s="237">
        <f>INT(A30)+1</f>
        <v>25</v>
      </c>
      <c r="B31" s="219" t="str">
        <f t="shared" si="3"/>
        <v>Ispravna</v>
      </c>
      <c r="C31" s="531" t="s">
        <v>1769</v>
      </c>
      <c r="D31" s="532"/>
      <c r="E31" s="532"/>
      <c r="F31" s="532"/>
      <c r="G31" s="532"/>
      <c r="H31" s="532"/>
      <c r="I31" s="532"/>
      <c r="J31" s="532"/>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1771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1" t="s">
        <v>391</v>
      </c>
      <c r="D33" s="532"/>
      <c r="E33" s="532"/>
      <c r="F33" s="532"/>
      <c r="G33" s="532"/>
      <c r="H33" s="532"/>
      <c r="I33" s="532"/>
      <c r="J33" s="532"/>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1" t="s">
        <v>1770</v>
      </c>
      <c r="D34" s="532"/>
      <c r="E34" s="532"/>
      <c r="F34" s="532"/>
      <c r="G34" s="532"/>
      <c r="H34" s="532"/>
      <c r="I34" s="532"/>
      <c r="J34" s="532"/>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23:J23"/>
    <mergeCell ref="A13:J13"/>
    <mergeCell ref="A1:B1"/>
    <mergeCell ref="C11:J11"/>
    <mergeCell ref="C2:J2"/>
    <mergeCell ref="C4:J4"/>
    <mergeCell ref="C8:J8"/>
    <mergeCell ref="C25:J25"/>
    <mergeCell ref="C10:J10"/>
    <mergeCell ref="C12:J12"/>
    <mergeCell ref="A3:J3"/>
    <mergeCell ref="C5:J5"/>
    <mergeCell ref="C33:J33"/>
    <mergeCell ref="C29:J29"/>
    <mergeCell ref="C21:J21"/>
    <mergeCell ref="C22:J22"/>
    <mergeCell ref="C15:J15"/>
    <mergeCell ref="C17:J17"/>
    <mergeCell ref="C16:J16"/>
    <mergeCell ref="A28:J28"/>
    <mergeCell ref="C26:J26"/>
    <mergeCell ref="C20:J20"/>
    <mergeCell ref="C14:J14"/>
    <mergeCell ref="C19:J19"/>
    <mergeCell ref="C24:J24"/>
    <mergeCell ref="C18:J1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197472</v>
      </c>
      <c r="C2" s="5">
        <f>PRRAS!K19</f>
        <v>189314</v>
      </c>
      <c r="D2" s="8">
        <v>0</v>
      </c>
      <c r="E2" s="8">
        <v>0</v>
      </c>
      <c r="F2" s="7">
        <f>A2/100*B2+A2/50*C2</f>
        <v>5761</v>
      </c>
      <c r="G2" s="9" t="str">
        <f>TRIM(UPPER(RefStr!C13))</f>
        <v>HR9024070001100117725</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03545563</v>
      </c>
      <c r="I3" s="9" t="s">
        <v>3064</v>
      </c>
      <c r="J3" s="8">
        <f t="shared" si="0"/>
        <v>0</v>
      </c>
    </row>
    <row r="4" spans="1:10" ht="12.75">
      <c r="A4" s="5">
        <f>PRRAS!I21</f>
        <v>3</v>
      </c>
      <c r="B4" s="5">
        <f>PRRAS!J21</f>
        <v>0</v>
      </c>
      <c r="C4" s="5">
        <f>PRRAS!K21</f>
        <v>0</v>
      </c>
      <c r="D4" s="8">
        <v>0</v>
      </c>
      <c r="E4" s="8">
        <v>0</v>
      </c>
      <c r="F4" s="7">
        <f>A4/100*B4+A4/50*C4</f>
        <v>0</v>
      </c>
      <c r="G4" s="6" t="str">
        <f>IF(ISERROR(RefStr!C7),"-",UPPER(TRIM(RefStr!C7)))</f>
        <v>SRANKA DEMOKRATSKE AKCIJE HRVATSKE - SDAH</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3066</v>
      </c>
      <c r="J5" s="8">
        <f t="shared" si="0"/>
        <v>0</v>
      </c>
    </row>
    <row r="6" spans="1:10" ht="12.75">
      <c r="A6" s="5">
        <f>PRRAS!I23</f>
        <v>5</v>
      </c>
      <c r="B6" s="5">
        <f>PRRAS!J23</f>
        <v>2500</v>
      </c>
      <c r="C6" s="5">
        <f>PRRAS!K23</f>
        <v>660</v>
      </c>
      <c r="D6" s="8">
        <v>0</v>
      </c>
      <c r="E6" s="8">
        <v>0</v>
      </c>
      <c r="F6" s="7">
        <f t="shared" si="1"/>
        <v>191</v>
      </c>
      <c r="G6" s="6" t="str">
        <f>IF(ISERROR(RefStr!E9),"-",UPPER(TRIM(RefStr!E9)))</f>
        <v>ZAGREB</v>
      </c>
      <c r="I6" s="9" t="s">
        <v>3067</v>
      </c>
      <c r="J6" s="8">
        <f t="shared" si="0"/>
        <v>0</v>
      </c>
    </row>
    <row r="7" spans="1:10" ht="12.75">
      <c r="A7" s="5">
        <f>PRRAS!I24</f>
        <v>6</v>
      </c>
      <c r="B7" s="5">
        <f>PRRAS!J24</f>
        <v>2500</v>
      </c>
      <c r="C7" s="5">
        <f>PRRAS!K24</f>
        <v>660</v>
      </c>
      <c r="D7" s="8">
        <v>0</v>
      </c>
      <c r="E7" s="8">
        <v>0</v>
      </c>
      <c r="F7" s="7">
        <f t="shared" si="1"/>
        <v>229.2</v>
      </c>
      <c r="G7" s="6" t="str">
        <f>IF(ISERROR(RefStr!C11),"-",(TRIM(RefStr!C11)))</f>
        <v>MANDALIČINA 17</v>
      </c>
      <c r="I7" s="9" t="s">
        <v>3068</v>
      </c>
      <c r="J7" s="8">
        <f t="shared" si="0"/>
        <v>0</v>
      </c>
    </row>
    <row r="8" spans="1:10" ht="12.75">
      <c r="A8" s="5">
        <f>PRRAS!I25</f>
        <v>7</v>
      </c>
      <c r="B8" s="5">
        <f>PRRAS!J25</f>
        <v>0</v>
      </c>
      <c r="C8" s="5">
        <f>PRRAS!K25</f>
        <v>0</v>
      </c>
      <c r="D8" s="8">
        <v>0</v>
      </c>
      <c r="E8" s="8">
        <v>0</v>
      </c>
      <c r="F8" s="7">
        <f t="shared" si="1"/>
        <v>0</v>
      </c>
      <c r="G8" s="6" t="str">
        <f>TEXT(INT(VALUE(RefStr!C15)),"0000")</f>
        <v>9492</v>
      </c>
      <c r="I8" s="9" t="s">
        <v>3069</v>
      </c>
      <c r="J8" s="8">
        <f t="shared" si="0"/>
        <v>0</v>
      </c>
    </row>
    <row r="9" spans="1:10" ht="12.75">
      <c r="A9" s="5">
        <f>PRRAS!I26</f>
        <v>8</v>
      </c>
      <c r="B9" s="5">
        <f>PRRAS!J26</f>
        <v>0</v>
      </c>
      <c r="C9" s="5">
        <f>PRRAS!K26</f>
        <v>0</v>
      </c>
      <c r="D9" s="8">
        <v>0</v>
      </c>
      <c r="E9" s="8">
        <v>0</v>
      </c>
      <c r="F9" s="7">
        <f t="shared" si="1"/>
        <v>0</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165571</v>
      </c>
      <c r="C12" s="5">
        <f>PRRAS!K29</f>
        <v>164700</v>
      </c>
      <c r="D12" s="8">
        <v>0</v>
      </c>
      <c r="E12" s="8">
        <v>0</v>
      </c>
      <c r="F12" s="7">
        <f t="shared" si="1"/>
        <v>54446.81</v>
      </c>
      <c r="G12" s="6" t="s">
        <v>155</v>
      </c>
      <c r="I12" s="11" t="s">
        <v>2665</v>
      </c>
      <c r="J12" s="8">
        <f t="shared" si="0"/>
        <v>0</v>
      </c>
    </row>
    <row r="13" spans="1:10" ht="12.75">
      <c r="A13" s="5">
        <f>PRRAS!I30</f>
        <v>12</v>
      </c>
      <c r="B13" s="5">
        <f>PRRAS!J30</f>
        <v>10</v>
      </c>
      <c r="C13" s="5">
        <f>PRRAS!K30</f>
        <v>2</v>
      </c>
      <c r="D13" s="8">
        <v>0</v>
      </c>
      <c r="E13" s="8">
        <v>0</v>
      </c>
      <c r="F13" s="7">
        <f t="shared" si="1"/>
        <v>1.68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10</v>
      </c>
      <c r="C16" s="5">
        <f>PRRAS!K33</f>
        <v>2</v>
      </c>
      <c r="D16" s="8">
        <v>0</v>
      </c>
      <c r="E16" s="8">
        <v>0</v>
      </c>
      <c r="F16" s="7">
        <f t="shared" si="1"/>
        <v>2.1</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MIRSAD SREBRENIKOVIĆ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MELIKA TESKEREDŽIĆ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0912121140</v>
      </c>
      <c r="I21" s="9" t="s">
        <v>2674</v>
      </c>
      <c r="J21" s="8">
        <f t="shared" si="0"/>
        <v>0</v>
      </c>
    </row>
    <row r="22" spans="1:10" ht="12.75">
      <c r="A22" s="5">
        <f>PRRAS!I39</f>
        <v>21</v>
      </c>
      <c r="B22" s="5">
        <f>PRRAS!J39</f>
        <v>165561</v>
      </c>
      <c r="C22" s="5">
        <f>PRRAS!K39</f>
        <v>164698</v>
      </c>
      <c r="D22" s="8">
        <v>0</v>
      </c>
      <c r="E22" s="8">
        <v>0</v>
      </c>
      <c r="F22" s="7">
        <f t="shared" si="1"/>
        <v>103940.97</v>
      </c>
      <c r="G22" s="6">
        <f>IF(ISERROR(RefStr!D47),"-",UPPER(TRIM(RefStr!D47)))</f>
      </c>
      <c r="I22" s="11" t="s">
        <v>2675</v>
      </c>
      <c r="J22" s="8">
        <f t="shared" si="0"/>
        <v>0</v>
      </c>
    </row>
    <row r="23" spans="1:10" ht="12.75">
      <c r="A23" s="5">
        <f>PRRAS!I40</f>
        <v>22</v>
      </c>
      <c r="B23" s="5">
        <f>PRRAS!J40</f>
        <v>165561</v>
      </c>
      <c r="C23" s="5">
        <f>PRRAS!K40</f>
        <v>164698</v>
      </c>
      <c r="D23" s="8">
        <v>0</v>
      </c>
      <c r="E23" s="8">
        <v>0</v>
      </c>
      <c r="F23" s="7">
        <f t="shared" si="1"/>
        <v>108890.54</v>
      </c>
      <c r="G23" s="6">
        <f>IF(ISERROR(RefStr!D49),"-",LOWER(TRIM(RefStr!D49)))</f>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28991</v>
      </c>
      <c r="C25" s="5">
        <f>PRRAS!K42</f>
        <v>23954</v>
      </c>
      <c r="D25" s="8">
        <v>0</v>
      </c>
      <c r="E25" s="8">
        <v>0</v>
      </c>
      <c r="F25" s="7">
        <f t="shared" si="1"/>
        <v>18455.760000000002</v>
      </c>
      <c r="I25" s="11" t="s">
        <v>2678</v>
      </c>
      <c r="J25" s="8">
        <f t="shared" si="0"/>
        <v>0</v>
      </c>
    </row>
    <row r="26" spans="1:10" ht="12.75">
      <c r="A26" s="5">
        <f>PRRAS!I43</f>
        <v>25</v>
      </c>
      <c r="B26" s="5">
        <f>PRRAS!J43</f>
        <v>28991</v>
      </c>
      <c r="C26" s="5">
        <f>PRRAS!K43</f>
        <v>23954</v>
      </c>
      <c r="D26" s="8">
        <v>0</v>
      </c>
      <c r="E26" s="8">
        <v>0</v>
      </c>
      <c r="F26" s="7">
        <f t="shared" si="1"/>
        <v>19224.75</v>
      </c>
      <c r="G26" s="6" t="str">
        <f>MID(TRIM(RefStr!J15),1,4)</f>
        <v>2018</v>
      </c>
      <c r="I26" s="9" t="s">
        <v>2679</v>
      </c>
      <c r="J26" s="8">
        <f t="shared" si="0"/>
        <v>0</v>
      </c>
    </row>
    <row r="27" spans="1:10" ht="12.75">
      <c r="A27" s="5">
        <f>PRRAS!I44</f>
        <v>26</v>
      </c>
      <c r="B27" s="5">
        <f>PRRAS!J44</f>
        <v>18520</v>
      </c>
      <c r="C27" s="5">
        <f>PRRAS!K44</f>
        <v>0</v>
      </c>
      <c r="D27" s="8">
        <v>0</v>
      </c>
      <c r="E27" s="8">
        <v>0</v>
      </c>
      <c r="F27" s="7">
        <f t="shared" si="1"/>
        <v>4815.2</v>
      </c>
      <c r="G27" s="234">
        <f>SUM(F2:F172)</f>
        <v>5264459.039999999</v>
      </c>
      <c r="I27" s="9" t="s">
        <v>143</v>
      </c>
      <c r="J27" s="8">
        <f t="shared" si="0"/>
        <v>0</v>
      </c>
    </row>
    <row r="28" spans="1:10" ht="12.75">
      <c r="A28" s="5">
        <f>PRRAS!I45</f>
        <v>27</v>
      </c>
      <c r="B28" s="5">
        <f>PRRAS!J45</f>
        <v>10471</v>
      </c>
      <c r="C28" s="5">
        <f>PRRAS!K45</f>
        <v>23954</v>
      </c>
      <c r="D28" s="8">
        <v>0</v>
      </c>
      <c r="E28" s="8">
        <v>0</v>
      </c>
      <c r="F28" s="7">
        <f t="shared" si="1"/>
        <v>15762.330000000002</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19621827951</v>
      </c>
      <c r="I38" s="9" t="s">
        <v>1861</v>
      </c>
      <c r="J38" s="8">
        <f t="shared" si="2"/>
        <v>0</v>
      </c>
    </row>
    <row r="39" spans="1:10" ht="12.75">
      <c r="A39" s="5">
        <f>PRRAS!I56</f>
        <v>38</v>
      </c>
      <c r="B39" s="5">
        <f>PRRAS!J56</f>
        <v>0</v>
      </c>
      <c r="C39" s="5">
        <f>PRRAS!K56</f>
        <v>0</v>
      </c>
      <c r="D39" s="8">
        <v>0</v>
      </c>
      <c r="E39" s="8">
        <v>0</v>
      </c>
      <c r="F39" s="7">
        <f t="shared" si="1"/>
        <v>0</v>
      </c>
      <c r="G39" s="6" t="str">
        <f>TEXT(INT(VALUE(RefStr!J9)),"00000")</f>
        <v>145110</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410</v>
      </c>
      <c r="C41" s="5">
        <f>PRRAS!K58</f>
        <v>0</v>
      </c>
      <c r="D41" s="8">
        <v>0</v>
      </c>
      <c r="E41" s="8">
        <v>0</v>
      </c>
      <c r="F41" s="7">
        <f t="shared" si="1"/>
        <v>164</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23487846.82999999</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410</v>
      </c>
      <c r="C46" s="5">
        <f>PRRAS!K63</f>
        <v>0</v>
      </c>
      <c r="D46" s="8">
        <v>0</v>
      </c>
      <c r="E46" s="8">
        <v>0</v>
      </c>
      <c r="F46" s="7">
        <f t="shared" si="1"/>
        <v>184.5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410</v>
      </c>
      <c r="C49" s="5">
        <f>PRRAS!K66</f>
        <v>0</v>
      </c>
      <c r="D49" s="8">
        <v>0</v>
      </c>
      <c r="E49" s="8">
        <v>0</v>
      </c>
      <c r="F49" s="7">
        <f t="shared" si="1"/>
        <v>196.79999999999998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218676</v>
      </c>
      <c r="C55" s="5">
        <f>PRRAS!K73</f>
        <v>150887</v>
      </c>
      <c r="D55" s="8">
        <v>0</v>
      </c>
      <c r="E55" s="8">
        <v>0</v>
      </c>
      <c r="F55" s="7">
        <f t="shared" si="1"/>
        <v>281043</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208364</v>
      </c>
      <c r="C68" s="5">
        <f>PRRAS!K86</f>
        <v>141092</v>
      </c>
      <c r="D68" s="8">
        <v>0</v>
      </c>
      <c r="E68" s="8">
        <v>0</v>
      </c>
      <c r="F68" s="7">
        <f aca="true" t="shared" si="4" ref="F68:F131">A68/100*B68+A68/50*C68</f>
        <v>328667.16000000003</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22998</v>
      </c>
      <c r="C73" s="5">
        <f>PRRAS!K91</f>
        <v>9454</v>
      </c>
      <c r="D73" s="8">
        <v>0</v>
      </c>
      <c r="E73" s="8">
        <v>0</v>
      </c>
      <c r="F73" s="7">
        <f t="shared" si="4"/>
        <v>30172.32</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22998</v>
      </c>
      <c r="C75" s="5">
        <f>PRRAS!K93</f>
        <v>9454</v>
      </c>
      <c r="D75" s="8">
        <v>0</v>
      </c>
      <c r="E75" s="8">
        <v>0</v>
      </c>
      <c r="F75" s="7">
        <f t="shared" si="4"/>
        <v>31010.440000000002</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1008</v>
      </c>
      <c r="D83" s="8">
        <v>0</v>
      </c>
      <c r="E83" s="8">
        <v>0</v>
      </c>
      <c r="F83" s="7">
        <f t="shared" si="4"/>
        <v>1653.12</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1008</v>
      </c>
      <c r="D85" s="8">
        <v>0</v>
      </c>
      <c r="E85" s="8">
        <v>0</v>
      </c>
      <c r="F85" s="7">
        <f t="shared" si="4"/>
        <v>1693.4399999999998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137124</v>
      </c>
      <c r="C88" s="5">
        <f>PRRAS!K106</f>
        <v>83099</v>
      </c>
      <c r="D88" s="8">
        <v>0</v>
      </c>
      <c r="E88" s="8">
        <v>0</v>
      </c>
      <c r="F88" s="7">
        <f t="shared" si="4"/>
        <v>263890.14</v>
      </c>
      <c r="J88" s="8">
        <f t="shared" si="3"/>
        <v>0</v>
      </c>
    </row>
    <row r="89" spans="1:10" ht="12.75">
      <c r="A89" s="5">
        <f>PRRAS!I107</f>
        <v>88</v>
      </c>
      <c r="B89" s="5">
        <f>PRRAS!J107</f>
        <v>12914</v>
      </c>
      <c r="C89" s="5">
        <f>PRRAS!K107</f>
        <v>15595</v>
      </c>
      <c r="D89" s="8">
        <v>0</v>
      </c>
      <c r="E89" s="8">
        <v>0</v>
      </c>
      <c r="F89" s="7">
        <f t="shared" si="4"/>
        <v>38811.520000000004</v>
      </c>
      <c r="J89" s="8">
        <f t="shared" si="3"/>
        <v>0</v>
      </c>
    </row>
    <row r="90" spans="1:10" ht="12.75">
      <c r="A90" s="5">
        <f>PRRAS!I108</f>
        <v>89</v>
      </c>
      <c r="B90" s="5">
        <f>PRRAS!J108</f>
        <v>2481</v>
      </c>
      <c r="C90" s="5">
        <f>PRRAS!K108</f>
        <v>823</v>
      </c>
      <c r="D90" s="8">
        <v>0</v>
      </c>
      <c r="E90" s="8">
        <v>0</v>
      </c>
      <c r="F90" s="7">
        <f t="shared" si="4"/>
        <v>3673.03</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9937</v>
      </c>
      <c r="C92" s="5">
        <f>PRRAS!K110</f>
        <v>11691</v>
      </c>
      <c r="D92" s="8">
        <v>0</v>
      </c>
      <c r="E92" s="8">
        <v>0</v>
      </c>
      <c r="F92" s="7">
        <f t="shared" si="4"/>
        <v>30320.29</v>
      </c>
      <c r="J92" s="8">
        <f t="shared" si="3"/>
        <v>0</v>
      </c>
    </row>
    <row r="93" spans="1:10" ht="12.75">
      <c r="A93" s="5">
        <f>PRRAS!I111</f>
        <v>92</v>
      </c>
      <c r="B93" s="5">
        <f>PRRAS!J111</f>
        <v>46858</v>
      </c>
      <c r="C93" s="5">
        <f>PRRAS!K111</f>
        <v>17962</v>
      </c>
      <c r="D93" s="8">
        <v>0</v>
      </c>
      <c r="E93" s="8">
        <v>0</v>
      </c>
      <c r="F93" s="7">
        <f t="shared" si="4"/>
        <v>76159.44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13006</v>
      </c>
      <c r="C95" s="5">
        <f>PRRAS!K113</f>
        <v>19404</v>
      </c>
      <c r="D95" s="8">
        <v>0</v>
      </c>
      <c r="E95" s="8">
        <v>0</v>
      </c>
      <c r="F95" s="7">
        <f t="shared" si="4"/>
        <v>48705.159999999996</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51928</v>
      </c>
      <c r="C97" s="5">
        <f>PRRAS!K115</f>
        <v>17624</v>
      </c>
      <c r="D97" s="8">
        <v>0</v>
      </c>
      <c r="E97" s="8">
        <v>0</v>
      </c>
      <c r="F97" s="7">
        <f t="shared" si="4"/>
        <v>83688.95999999999</v>
      </c>
      <c r="J97" s="8">
        <f t="shared" si="5"/>
        <v>0</v>
      </c>
    </row>
    <row r="98" spans="1:10" ht="12.75">
      <c r="A98" s="5">
        <f>PRRAS!I116</f>
        <v>97</v>
      </c>
      <c r="B98" s="5">
        <f>PRRAS!J116</f>
        <v>37727</v>
      </c>
      <c r="C98" s="5">
        <f>PRRAS!K116</f>
        <v>33234</v>
      </c>
      <c r="D98" s="8">
        <v>0</v>
      </c>
      <c r="E98" s="8">
        <v>0</v>
      </c>
      <c r="F98" s="7">
        <f t="shared" si="4"/>
        <v>101069.15</v>
      </c>
      <c r="J98" s="8">
        <f t="shared" si="5"/>
        <v>0</v>
      </c>
    </row>
    <row r="99" spans="1:10" ht="12.75">
      <c r="A99" s="5">
        <f>PRRAS!I117</f>
        <v>98</v>
      </c>
      <c r="B99" s="5">
        <f>PRRAS!J117</f>
        <v>1586</v>
      </c>
      <c r="C99" s="5">
        <f>PRRAS!K117</f>
        <v>702</v>
      </c>
      <c r="D99" s="8">
        <v>0</v>
      </c>
      <c r="E99" s="8">
        <v>0</v>
      </c>
      <c r="F99" s="7">
        <f t="shared" si="4"/>
        <v>2930.2</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35419</v>
      </c>
      <c r="C101" s="5">
        <f>PRRAS!K119</f>
        <v>32353</v>
      </c>
      <c r="D101" s="8">
        <v>0</v>
      </c>
      <c r="E101" s="8">
        <v>0</v>
      </c>
      <c r="F101" s="7">
        <f t="shared" si="4"/>
        <v>100125</v>
      </c>
      <c r="J101" s="8">
        <f t="shared" si="5"/>
        <v>0</v>
      </c>
    </row>
    <row r="102" spans="1:10" ht="12.75">
      <c r="A102" s="5">
        <f>PRRAS!I120</f>
        <v>101</v>
      </c>
      <c r="B102" s="5">
        <f>PRRAS!J120</f>
        <v>722</v>
      </c>
      <c r="C102" s="5">
        <f>PRRAS!K120</f>
        <v>179</v>
      </c>
      <c r="D102" s="8">
        <v>0</v>
      </c>
      <c r="E102" s="8">
        <v>0</v>
      </c>
      <c r="F102" s="7">
        <f t="shared" si="4"/>
        <v>1090.8</v>
      </c>
      <c r="J102" s="8">
        <f t="shared" si="5"/>
        <v>0</v>
      </c>
    </row>
    <row r="103" spans="1:10" ht="12.75">
      <c r="A103" s="5">
        <f>PRRAS!I121</f>
        <v>102</v>
      </c>
      <c r="B103" s="5">
        <f>PRRAS!J121</f>
        <v>10515</v>
      </c>
      <c r="C103" s="5">
        <f>PRRAS!K121</f>
        <v>14297</v>
      </c>
      <c r="D103" s="8">
        <v>0</v>
      </c>
      <c r="E103" s="8">
        <v>0</v>
      </c>
      <c r="F103" s="7">
        <f t="shared" si="4"/>
        <v>39891.18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10315</v>
      </c>
      <c r="C105" s="5">
        <f>PRRAS!K123</f>
        <v>13446</v>
      </c>
      <c r="D105" s="8">
        <v>0</v>
      </c>
      <c r="E105" s="8">
        <v>0</v>
      </c>
      <c r="F105" s="7">
        <f t="shared" si="4"/>
        <v>38695.28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200</v>
      </c>
      <c r="C108" s="5">
        <f>PRRAS!K126</f>
        <v>851</v>
      </c>
      <c r="D108" s="8">
        <v>0</v>
      </c>
      <c r="E108" s="8">
        <v>0</v>
      </c>
      <c r="F108" s="7">
        <f t="shared" si="4"/>
        <v>2035.14</v>
      </c>
      <c r="J108" s="8">
        <f t="shared" si="5"/>
        <v>0</v>
      </c>
    </row>
    <row r="109" spans="1:10" ht="12.75">
      <c r="A109" s="5">
        <f>PRRAS!I127</f>
        <v>108</v>
      </c>
      <c r="B109" s="5">
        <f>PRRAS!J127</f>
        <v>2881</v>
      </c>
      <c r="C109" s="5">
        <f>PRRAS!K127</f>
        <v>2881</v>
      </c>
      <c r="D109" s="8">
        <v>0</v>
      </c>
      <c r="E109" s="8">
        <v>0</v>
      </c>
      <c r="F109" s="7">
        <f t="shared" si="4"/>
        <v>9334.44</v>
      </c>
      <c r="J109" s="8">
        <f t="shared" si="5"/>
        <v>0</v>
      </c>
    </row>
    <row r="110" spans="1:10" ht="12.75">
      <c r="A110" s="5">
        <f>PRRAS!I128</f>
        <v>109</v>
      </c>
      <c r="B110" s="5">
        <f>PRRAS!J128</f>
        <v>2431</v>
      </c>
      <c r="C110" s="5">
        <f>PRRAS!K128</f>
        <v>6914</v>
      </c>
      <c r="D110" s="8">
        <v>0</v>
      </c>
      <c r="E110" s="8">
        <v>0</v>
      </c>
      <c r="F110" s="7">
        <f t="shared" si="4"/>
        <v>17722.31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2431</v>
      </c>
      <c r="C116" s="5">
        <f>PRRAS!K134</f>
        <v>6914</v>
      </c>
      <c r="D116" s="8">
        <v>0</v>
      </c>
      <c r="E116" s="8">
        <v>0</v>
      </c>
      <c r="F116" s="7">
        <f t="shared" si="4"/>
        <v>18697.85</v>
      </c>
      <c r="J116" s="8">
        <f t="shared" si="5"/>
        <v>0</v>
      </c>
    </row>
    <row r="117" spans="1:10" ht="12.75">
      <c r="A117" s="5">
        <f>PRRAS!I135</f>
        <v>116</v>
      </c>
      <c r="B117" s="5">
        <f>PRRAS!J135</f>
        <v>2421</v>
      </c>
      <c r="C117" s="5">
        <f>PRRAS!K135</f>
        <v>3119</v>
      </c>
      <c r="D117" s="8">
        <v>0</v>
      </c>
      <c r="E117" s="8">
        <v>0</v>
      </c>
      <c r="F117" s="7">
        <f t="shared" si="4"/>
        <v>10044.439999999999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10</v>
      </c>
      <c r="C119" s="5">
        <f>PRRAS!K137</f>
        <v>485</v>
      </c>
      <c r="D119" s="8">
        <v>0</v>
      </c>
      <c r="E119" s="8">
        <v>0</v>
      </c>
      <c r="F119" s="7">
        <f t="shared" si="4"/>
        <v>1156.3999999999999</v>
      </c>
      <c r="J119" s="8">
        <f t="shared" si="5"/>
        <v>0</v>
      </c>
    </row>
    <row r="120" spans="1:10" ht="12.75">
      <c r="A120" s="5">
        <f>PRRAS!I138</f>
        <v>119</v>
      </c>
      <c r="B120" s="5">
        <f>PRRAS!J138</f>
        <v>0</v>
      </c>
      <c r="C120" s="5">
        <f>PRRAS!K138</f>
        <v>3310</v>
      </c>
      <c r="D120" s="8">
        <v>0</v>
      </c>
      <c r="E120" s="8">
        <v>0</v>
      </c>
      <c r="F120" s="7">
        <f t="shared" si="4"/>
        <v>7877.799999999999</v>
      </c>
      <c r="J120" s="8">
        <f t="shared" si="5"/>
        <v>0</v>
      </c>
    </row>
    <row r="121" spans="1:10" ht="12.75">
      <c r="A121" s="5">
        <f>PRRAS!I139</f>
        <v>120</v>
      </c>
      <c r="B121" s="5">
        <f>PRRAS!J139</f>
        <v>5000</v>
      </c>
      <c r="C121" s="5">
        <f>PRRAS!K139</f>
        <v>0</v>
      </c>
      <c r="D121" s="8">
        <v>0</v>
      </c>
      <c r="E121" s="8">
        <v>0</v>
      </c>
      <c r="F121" s="7">
        <f t="shared" si="4"/>
        <v>6000</v>
      </c>
      <c r="J121" s="8">
        <f t="shared" si="5"/>
        <v>0</v>
      </c>
    </row>
    <row r="122" spans="1:10" ht="12.75">
      <c r="A122" s="5">
        <f>PRRAS!I140</f>
        <v>121</v>
      </c>
      <c r="B122" s="5">
        <f>PRRAS!J140</f>
        <v>5000</v>
      </c>
      <c r="C122" s="5">
        <f>PRRAS!K140</f>
        <v>0</v>
      </c>
      <c r="D122" s="8">
        <v>0</v>
      </c>
      <c r="E122" s="8">
        <v>0</v>
      </c>
      <c r="F122" s="7">
        <f t="shared" si="4"/>
        <v>6050</v>
      </c>
      <c r="J122" s="8">
        <f t="shared" si="5"/>
        <v>0</v>
      </c>
    </row>
    <row r="123" spans="1:10" ht="12.75">
      <c r="A123" s="5">
        <f>PRRAS!I141</f>
        <v>122</v>
      </c>
      <c r="B123" s="5">
        <f>PRRAS!J141</f>
        <v>5000</v>
      </c>
      <c r="C123" s="5">
        <f>PRRAS!K141</f>
        <v>0</v>
      </c>
      <c r="D123" s="8">
        <v>0</v>
      </c>
      <c r="E123" s="8">
        <v>0</v>
      </c>
      <c r="F123" s="7">
        <f t="shared" si="4"/>
        <v>6100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218676</v>
      </c>
      <c r="C149" s="5">
        <f>PRRAS!K167</f>
        <v>150887</v>
      </c>
      <c r="D149" s="8">
        <v>0</v>
      </c>
      <c r="E149" s="8">
        <v>0</v>
      </c>
      <c r="F149" s="7">
        <f t="shared" si="7"/>
        <v>770266</v>
      </c>
      <c r="J149" s="8">
        <f t="shared" si="6"/>
        <v>0</v>
      </c>
    </row>
    <row r="150" spans="1:10" ht="12.75">
      <c r="A150" s="5">
        <f>PRRAS!I168</f>
        <v>149</v>
      </c>
      <c r="B150" s="5">
        <f>PRRAS!J168</f>
        <v>0</v>
      </c>
      <c r="C150" s="5">
        <f>PRRAS!K168</f>
        <v>38427</v>
      </c>
      <c r="D150" s="8">
        <v>0</v>
      </c>
      <c r="E150" s="8">
        <v>0</v>
      </c>
      <c r="F150" s="7">
        <f t="shared" si="7"/>
        <v>114512.46</v>
      </c>
      <c r="J150" s="8">
        <f t="shared" si="6"/>
        <v>0</v>
      </c>
    </row>
    <row r="151" spans="1:10" ht="12.75">
      <c r="A151" s="5">
        <f>PRRAS!I169</f>
        <v>150</v>
      </c>
      <c r="B151" s="5">
        <f>PRRAS!J169</f>
        <v>21204</v>
      </c>
      <c r="C151" s="5">
        <f>PRRAS!K169</f>
        <v>0</v>
      </c>
      <c r="D151" s="8">
        <v>0</v>
      </c>
      <c r="E151" s="8">
        <v>0</v>
      </c>
      <c r="F151" s="7">
        <f t="shared" si="7"/>
        <v>31806</v>
      </c>
      <c r="J151" s="8">
        <f t="shared" si="6"/>
        <v>0</v>
      </c>
    </row>
    <row r="152" spans="1:10" ht="12.75">
      <c r="A152" s="5">
        <f>PRRAS!I170</f>
        <v>151</v>
      </c>
      <c r="B152" s="5">
        <f>PRRAS!J170</f>
        <v>56241</v>
      </c>
      <c r="C152" s="5">
        <f>PRRAS!K170</f>
        <v>35034</v>
      </c>
      <c r="D152" s="8">
        <v>0</v>
      </c>
      <c r="E152" s="8">
        <v>0</v>
      </c>
      <c r="F152" s="7">
        <f t="shared" si="7"/>
        <v>190726.59000000003</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35037</v>
      </c>
      <c r="C155" s="5">
        <f>PRRAS!K173</f>
        <v>73461</v>
      </c>
      <c r="D155" s="8">
        <v>0</v>
      </c>
      <c r="E155" s="8">
        <v>0</v>
      </c>
      <c r="F155" s="7">
        <f t="shared" si="7"/>
        <v>280216.86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22112</v>
      </c>
      <c r="C157" s="5">
        <f>PRRAS!K176</f>
        <v>8390</v>
      </c>
      <c r="D157" s="8">
        <v>0</v>
      </c>
      <c r="E157" s="8">
        <v>0</v>
      </c>
      <c r="F157" s="7">
        <f>A157/100*B157+A157/50*C157</f>
        <v>60671.520000000004</v>
      </c>
    </row>
    <row r="158" spans="1:6" ht="12.75">
      <c r="A158" s="5">
        <f>PRRAS!I177</f>
        <v>157</v>
      </c>
      <c r="B158" s="5">
        <f>PRRAS!J177</f>
        <v>214014</v>
      </c>
      <c r="C158" s="5">
        <f>PRRAS!K177</f>
        <v>184112</v>
      </c>
      <c r="D158" s="8">
        <v>0</v>
      </c>
      <c r="E158" s="8">
        <v>0</v>
      </c>
      <c r="F158" s="7">
        <f aca="true" t="shared" si="8" ref="F158:F172">A158/100*B158+A158/50*C158</f>
        <v>914113.6600000001</v>
      </c>
    </row>
    <row r="159" spans="1:6" ht="12.75">
      <c r="A159" s="5">
        <f>PRRAS!I178</f>
        <v>158</v>
      </c>
      <c r="B159" s="5">
        <f>PRRAS!J178</f>
        <v>227736</v>
      </c>
      <c r="C159" s="5">
        <f>PRRAS!K178</f>
        <v>187402</v>
      </c>
      <c r="D159" s="8">
        <v>0</v>
      </c>
      <c r="E159" s="8">
        <v>0</v>
      </c>
      <c r="F159" s="7">
        <f t="shared" si="8"/>
        <v>952013.2000000001</v>
      </c>
    </row>
    <row r="160" spans="1:6" ht="12.75">
      <c r="A160" s="5">
        <f>PRRAS!I179</f>
        <v>159</v>
      </c>
      <c r="B160" s="5">
        <f>PRRAS!J179</f>
        <v>8390</v>
      </c>
      <c r="C160" s="5">
        <f>PRRAS!K179</f>
        <v>5100</v>
      </c>
      <c r="D160" s="8">
        <v>0</v>
      </c>
      <c r="E160" s="8">
        <v>0</v>
      </c>
      <c r="F160" s="7">
        <f t="shared" si="8"/>
        <v>29558.1</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108241</v>
      </c>
      <c r="C2" s="5">
        <f>BIL!K19</f>
        <v>129323</v>
      </c>
      <c r="D2" s="8">
        <v>0</v>
      </c>
      <c r="E2" s="8">
        <v>0</v>
      </c>
      <c r="F2" s="7">
        <f aca="true" t="shared" si="0" ref="F2:F65">A2/100*B2+A2/50*C2</f>
        <v>3668.87</v>
      </c>
      <c r="G2" s="9" t="str">
        <f>TRIM(UPPER(RefStr!C13))</f>
        <v>HR9024070001100117725</v>
      </c>
      <c r="H2" s="13">
        <v>0</v>
      </c>
      <c r="I2" s="9" t="s">
        <v>3063</v>
      </c>
      <c r="J2" s="8">
        <f>ABS(B2-ROUND(B2,0))+ABS(C2-ROUND(C2,0))</f>
        <v>0</v>
      </c>
    </row>
    <row r="3" spans="1:10" ht="12.75">
      <c r="A3" s="5">
        <f>BIL!I20</f>
        <v>2</v>
      </c>
      <c r="B3" s="5">
        <f>BIL!J20</f>
        <v>9453</v>
      </c>
      <c r="C3" s="5">
        <f>BIL!K20</f>
        <v>6569</v>
      </c>
      <c r="D3" s="8">
        <v>0</v>
      </c>
      <c r="E3" s="8">
        <v>0</v>
      </c>
      <c r="F3" s="7">
        <f t="shared" si="0"/>
        <v>451.82</v>
      </c>
      <c r="G3" s="6" t="str">
        <f>TEXT(INT(VALUE(RefStr!J11)),"00000000")</f>
        <v>03545563</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SRANKA DEMOKRATSKE AKCIJE HRVATSKE - SDAH</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MANDALIČINA 17</v>
      </c>
      <c r="I7" s="9" t="s">
        <v>3068</v>
      </c>
      <c r="J7" s="8">
        <f t="shared" si="1"/>
        <v>0</v>
      </c>
    </row>
    <row r="8" spans="1:10" ht="12.75">
      <c r="A8" s="5">
        <f>BIL!I25</f>
        <v>7</v>
      </c>
      <c r="B8" s="5">
        <f>BIL!J25</f>
        <v>0</v>
      </c>
      <c r="C8" s="5">
        <f>BIL!K25</f>
        <v>0</v>
      </c>
      <c r="D8" s="8">
        <v>0</v>
      </c>
      <c r="E8" s="8">
        <v>0</v>
      </c>
      <c r="F8" s="7">
        <f t="shared" si="0"/>
        <v>0</v>
      </c>
      <c r="G8" s="6" t="str">
        <f>TEXT(INT(VALUE(RefStr!C15)),"0000")</f>
        <v>9492</v>
      </c>
      <c r="I8" s="9" t="s">
        <v>3069</v>
      </c>
      <c r="J8" s="8">
        <f t="shared" si="1"/>
        <v>0</v>
      </c>
    </row>
    <row r="9" spans="1:10" ht="12.75">
      <c r="A9" s="5">
        <f>BIL!I26</f>
        <v>8</v>
      </c>
      <c r="B9" s="5">
        <f>BIL!J26</f>
        <v>0</v>
      </c>
      <c r="C9" s="5">
        <f>BIL!K26</f>
        <v>0</v>
      </c>
      <c r="D9" s="8">
        <v>0</v>
      </c>
      <c r="E9" s="8">
        <v>0</v>
      </c>
      <c r="F9" s="7">
        <f t="shared" si="0"/>
        <v>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MIRSAD SREBRENIKOVIĆ</v>
      </c>
      <c r="I18" s="11" t="s">
        <v>2671</v>
      </c>
      <c r="J18" s="8">
        <f t="shared" si="1"/>
        <v>0</v>
      </c>
    </row>
    <row r="19" spans="1:10" ht="12.75">
      <c r="A19" s="5">
        <f>BIL!I36</f>
        <v>18</v>
      </c>
      <c r="B19" s="5">
        <f>BIL!J36</f>
        <v>9453</v>
      </c>
      <c r="C19" s="5">
        <f>BIL!K36</f>
        <v>6569</v>
      </c>
      <c r="D19" s="8">
        <v>0</v>
      </c>
      <c r="E19" s="8">
        <v>0</v>
      </c>
      <c r="F19" s="7">
        <f t="shared" si="0"/>
        <v>4066.3799999999997</v>
      </c>
      <c r="I19" s="11" t="s">
        <v>2672</v>
      </c>
      <c r="J19" s="8">
        <f t="shared" si="1"/>
        <v>0</v>
      </c>
    </row>
    <row r="20" spans="1:10" ht="12.75">
      <c r="A20" s="5">
        <f>BIL!I37</f>
        <v>19</v>
      </c>
      <c r="B20" s="5">
        <f>BIL!J37</f>
        <v>0</v>
      </c>
      <c r="C20" s="5">
        <f>BIL!K37</f>
        <v>0</v>
      </c>
      <c r="D20" s="8">
        <v>0</v>
      </c>
      <c r="E20" s="8">
        <v>0</v>
      </c>
      <c r="F20" s="7">
        <f t="shared" si="0"/>
        <v>0</v>
      </c>
      <c r="G20" s="6" t="str">
        <f>IF(ISERROR(RefStr!D43),"-",UPPER(TRIM(RefStr!D43)))</f>
        <v>MELIKA TESKEREDŽIĆ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0912121140</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f>IF(ISERROR(RefStr!D49),"-",LOWER(TRIM(RefStr!D49)))</f>
      </c>
      <c r="I23" s="11" t="s">
        <v>2676</v>
      </c>
      <c r="J23" s="8">
        <f t="shared" si="1"/>
        <v>0</v>
      </c>
    </row>
    <row r="24" spans="1:10" ht="12.75">
      <c r="A24" s="5">
        <f>BIL!I41</f>
        <v>23</v>
      </c>
      <c r="B24" s="5">
        <f>BIL!J41</f>
        <v>376519</v>
      </c>
      <c r="C24" s="5">
        <f>BIL!K41</f>
        <v>376519</v>
      </c>
      <c r="D24" s="8">
        <v>0</v>
      </c>
      <c r="E24" s="8">
        <v>0</v>
      </c>
      <c r="F24" s="7">
        <f t="shared" si="0"/>
        <v>259798.11000000004</v>
      </c>
      <c r="I24" s="11" t="s">
        <v>2677</v>
      </c>
      <c r="J24" s="8">
        <f t="shared" si="1"/>
        <v>0</v>
      </c>
    </row>
    <row r="25" spans="1:10" ht="12.75">
      <c r="A25" s="5">
        <f>BIL!I42</f>
        <v>24</v>
      </c>
      <c r="B25" s="5">
        <f>BIL!J42</f>
        <v>337050</v>
      </c>
      <c r="C25" s="5">
        <f>BIL!K42</f>
        <v>337050</v>
      </c>
      <c r="D25" s="8">
        <v>0</v>
      </c>
      <c r="E25" s="8">
        <v>0</v>
      </c>
      <c r="F25" s="7">
        <f t="shared" si="0"/>
        <v>242676</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0</v>
      </c>
      <c r="C27" s="5">
        <f>BIL!K44</f>
        <v>0</v>
      </c>
      <c r="D27" s="8">
        <v>0</v>
      </c>
      <c r="E27" s="8">
        <v>0</v>
      </c>
      <c r="F27" s="7">
        <f t="shared" si="0"/>
        <v>0</v>
      </c>
      <c r="G27" s="234">
        <f>SUM(F2:F374)</f>
        <v>23487846.82999999</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39469</v>
      </c>
      <c r="C31" s="5">
        <f>BIL!K48</f>
        <v>39469</v>
      </c>
      <c r="D31" s="8">
        <v>0</v>
      </c>
      <c r="E31" s="8">
        <v>0</v>
      </c>
      <c r="F31" s="7">
        <f t="shared" si="0"/>
        <v>35522.1</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19621827951</v>
      </c>
      <c r="I38" s="9" t="s">
        <v>1861</v>
      </c>
      <c r="J38" s="8">
        <f t="shared" si="1"/>
        <v>0</v>
      </c>
    </row>
    <row r="39" spans="1:10" ht="12.75">
      <c r="A39" s="5">
        <f>BIL!I56</f>
        <v>38</v>
      </c>
      <c r="B39" s="5">
        <f>BIL!J56</f>
        <v>0</v>
      </c>
      <c r="C39" s="5">
        <f>BIL!K56</f>
        <v>0</v>
      </c>
      <c r="D39" s="8">
        <v>0</v>
      </c>
      <c r="E39" s="8">
        <v>0</v>
      </c>
      <c r="F39" s="7">
        <f t="shared" si="0"/>
        <v>0</v>
      </c>
      <c r="G39" s="6" t="str">
        <f>TEXT(INT(VALUE(RefStr!J9)),"00000")</f>
        <v>145110</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23487846.82999999</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367066</v>
      </c>
      <c r="C47" s="5">
        <f>BIL!K64</f>
        <v>369950</v>
      </c>
      <c r="D47" s="8">
        <v>0</v>
      </c>
      <c r="E47" s="8">
        <v>0</v>
      </c>
      <c r="F47" s="7">
        <f t="shared" si="0"/>
        <v>509204.36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98788</v>
      </c>
      <c r="C75" s="5">
        <f>BIL!K92</f>
        <v>122754</v>
      </c>
      <c r="D75" s="8">
        <v>0</v>
      </c>
      <c r="E75" s="8">
        <v>0</v>
      </c>
      <c r="F75" s="7">
        <f t="shared" si="2"/>
        <v>254779.03999999998</v>
      </c>
      <c r="J75" s="8">
        <f t="shared" si="3"/>
        <v>0</v>
      </c>
    </row>
    <row r="76" spans="1:10" ht="12.75">
      <c r="A76" s="5">
        <f>BIL!I93</f>
        <v>75</v>
      </c>
      <c r="B76" s="5">
        <f>BIL!J93</f>
        <v>8390</v>
      </c>
      <c r="C76" s="5">
        <f>BIL!K93</f>
        <v>5100</v>
      </c>
      <c r="D76" s="8">
        <v>0</v>
      </c>
      <c r="E76" s="8">
        <v>0</v>
      </c>
      <c r="F76" s="7">
        <f t="shared" si="2"/>
        <v>13942.5</v>
      </c>
      <c r="J76" s="8">
        <f t="shared" si="3"/>
        <v>0</v>
      </c>
    </row>
    <row r="77" spans="1:10" ht="12.75">
      <c r="A77" s="5">
        <f>BIL!I94</f>
        <v>76</v>
      </c>
      <c r="B77" s="5">
        <f>BIL!J94</f>
        <v>3496</v>
      </c>
      <c r="C77" s="5">
        <f>BIL!K94</f>
        <v>2137</v>
      </c>
      <c r="D77" s="8">
        <v>0</v>
      </c>
      <c r="E77" s="8">
        <v>0</v>
      </c>
      <c r="F77" s="7">
        <f t="shared" si="2"/>
        <v>5905.200000000001</v>
      </c>
      <c r="J77" s="8">
        <f t="shared" si="3"/>
        <v>0</v>
      </c>
    </row>
    <row r="78" spans="1:10" ht="12.75">
      <c r="A78" s="5">
        <f>BIL!I95</f>
        <v>77</v>
      </c>
      <c r="B78" s="5">
        <f>BIL!J95</f>
        <v>3496</v>
      </c>
      <c r="C78" s="5">
        <f>BIL!K95</f>
        <v>2137</v>
      </c>
      <c r="D78" s="8">
        <v>0</v>
      </c>
      <c r="E78" s="8">
        <v>0</v>
      </c>
      <c r="F78" s="7">
        <f t="shared" si="2"/>
        <v>5982.9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4894</v>
      </c>
      <c r="C82" s="5">
        <f>BIL!K99</f>
        <v>2963</v>
      </c>
      <c r="D82" s="8">
        <v>0</v>
      </c>
      <c r="E82" s="8">
        <v>0</v>
      </c>
      <c r="F82" s="7">
        <f t="shared" si="2"/>
        <v>8764.2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5500</v>
      </c>
      <c r="C84" s="5">
        <f>BIL!K101</f>
        <v>5500</v>
      </c>
      <c r="D84" s="8">
        <v>0</v>
      </c>
      <c r="E84" s="8">
        <v>0</v>
      </c>
      <c r="F84" s="7">
        <f t="shared" si="2"/>
        <v>13695</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5500</v>
      </c>
      <c r="C96" s="5">
        <f>BIL!K113</f>
        <v>5500</v>
      </c>
      <c r="D96" s="8">
        <v>0</v>
      </c>
      <c r="E96" s="8">
        <v>0</v>
      </c>
      <c r="F96" s="7">
        <f t="shared" si="2"/>
        <v>15675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4500</v>
      </c>
      <c r="C99" s="5">
        <f>BIL!K116</f>
        <v>4500</v>
      </c>
      <c r="D99" s="8">
        <v>0</v>
      </c>
      <c r="E99" s="8">
        <v>0</v>
      </c>
      <c r="F99" s="7">
        <f t="shared" si="2"/>
        <v>13230</v>
      </c>
      <c r="J99" s="8">
        <f t="shared" si="3"/>
        <v>0</v>
      </c>
    </row>
    <row r="100" spans="1:10" ht="12.75">
      <c r="A100" s="5">
        <f>BIL!I117</f>
        <v>99</v>
      </c>
      <c r="B100" s="5">
        <f>BIL!J117</f>
        <v>1000</v>
      </c>
      <c r="C100" s="5">
        <f>BIL!K117</f>
        <v>1000</v>
      </c>
      <c r="D100" s="8">
        <v>0</v>
      </c>
      <c r="E100" s="8">
        <v>0</v>
      </c>
      <c r="F100" s="7">
        <f t="shared" si="2"/>
        <v>2970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84898</v>
      </c>
      <c r="C134" s="5">
        <f>BIL!K151</f>
        <v>112154</v>
      </c>
      <c r="D134" s="8">
        <v>0</v>
      </c>
      <c r="E134" s="8">
        <v>0</v>
      </c>
      <c r="F134" s="7">
        <f t="shared" si="4"/>
        <v>411243.98000000004</v>
      </c>
      <c r="J134" s="8">
        <f t="shared" si="5"/>
        <v>0</v>
      </c>
    </row>
    <row r="135" spans="1:10" ht="12.75">
      <c r="A135" s="5">
        <f>BIL!I152</f>
        <v>134</v>
      </c>
      <c r="B135" s="5">
        <f>BIL!J152</f>
        <v>84898</v>
      </c>
      <c r="C135" s="5">
        <f>BIL!K152</f>
        <v>112154</v>
      </c>
      <c r="D135" s="8">
        <v>0</v>
      </c>
      <c r="E135" s="8">
        <v>0</v>
      </c>
      <c r="F135" s="7">
        <f t="shared" si="4"/>
        <v>414336.04000000004</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108241</v>
      </c>
      <c r="C146" s="5">
        <f>BIL!K164</f>
        <v>129323</v>
      </c>
      <c r="D146" s="8">
        <v>0</v>
      </c>
      <c r="E146" s="8">
        <v>0</v>
      </c>
      <c r="F146" s="7">
        <f t="shared" si="4"/>
        <v>531986.15</v>
      </c>
      <c r="J146" s="8">
        <f t="shared" si="5"/>
        <v>0</v>
      </c>
    </row>
    <row r="147" spans="1:10" ht="12.75">
      <c r="A147" s="5">
        <f>BIL!I165</f>
        <v>146</v>
      </c>
      <c r="B147" s="5">
        <f>BIL!J165</f>
        <v>73204</v>
      </c>
      <c r="C147" s="5">
        <f>BIL!K165</f>
        <v>55862</v>
      </c>
      <c r="D147" s="8">
        <v>0</v>
      </c>
      <c r="E147" s="8">
        <v>0</v>
      </c>
      <c r="F147" s="7">
        <f t="shared" si="4"/>
        <v>269994.88</v>
      </c>
      <c r="J147" s="8">
        <f t="shared" si="5"/>
        <v>0</v>
      </c>
    </row>
    <row r="148" spans="1:10" ht="12.75">
      <c r="A148" s="5">
        <f>BIL!I166</f>
        <v>147</v>
      </c>
      <c r="B148" s="5">
        <f>BIL!J166</f>
        <v>55304</v>
      </c>
      <c r="C148" s="5">
        <f>BIL!K166</f>
        <v>40258</v>
      </c>
      <c r="D148" s="8">
        <v>0</v>
      </c>
      <c r="E148" s="8">
        <v>0</v>
      </c>
      <c r="F148" s="7">
        <f t="shared" si="4"/>
        <v>199655.40000000002</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55304</v>
      </c>
      <c r="C157" s="5">
        <f>BIL!K175</f>
        <v>40258</v>
      </c>
      <c r="D157" s="8">
        <v>0</v>
      </c>
      <c r="E157" s="8">
        <v>0</v>
      </c>
      <c r="F157" s="7">
        <f t="shared" si="4"/>
        <v>211879.2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55304</v>
      </c>
      <c r="C162" s="5">
        <f>BIL!K180</f>
        <v>40258</v>
      </c>
      <c r="D162" s="8">
        <v>0</v>
      </c>
      <c r="E162" s="8">
        <v>0</v>
      </c>
      <c r="F162" s="7">
        <f t="shared" si="4"/>
        <v>218670.2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17900</v>
      </c>
      <c r="C183" s="5">
        <f>BIL!K201</f>
        <v>15604</v>
      </c>
      <c r="D183" s="8">
        <v>0</v>
      </c>
      <c r="E183" s="8">
        <v>0</v>
      </c>
      <c r="F183" s="7">
        <f t="shared" si="4"/>
        <v>89376.56</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17900</v>
      </c>
      <c r="C187" s="5">
        <f>BIL!K205</f>
        <v>15604</v>
      </c>
      <c r="D187" s="8">
        <v>0</v>
      </c>
      <c r="E187" s="8">
        <v>0</v>
      </c>
      <c r="F187" s="7">
        <f t="shared" si="4"/>
        <v>91340.88</v>
      </c>
      <c r="J187" s="8">
        <f t="shared" si="5"/>
        <v>0</v>
      </c>
    </row>
    <row r="188" spans="1:10" ht="12.75">
      <c r="A188" s="5">
        <f>BIL!I206</f>
        <v>187</v>
      </c>
      <c r="B188" s="5">
        <f>BIL!J206</f>
        <v>17900</v>
      </c>
      <c r="C188" s="5">
        <f>BIL!K206</f>
        <v>15604</v>
      </c>
      <c r="D188" s="8">
        <v>0</v>
      </c>
      <c r="E188" s="8">
        <v>0</v>
      </c>
      <c r="F188" s="7">
        <f t="shared" si="4"/>
        <v>91831.96</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35037</v>
      </c>
      <c r="C196" s="5">
        <f>BIL!K214</f>
        <v>73461</v>
      </c>
      <c r="D196" s="8">
        <v>0</v>
      </c>
      <c r="E196" s="8">
        <v>0</v>
      </c>
      <c r="F196" s="7">
        <f t="shared" si="6"/>
        <v>354820.04999999993</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35037</v>
      </c>
      <c r="C200" s="5">
        <f>BIL!K218</f>
        <v>73461</v>
      </c>
      <c r="D200" s="8">
        <v>0</v>
      </c>
      <c r="E200" s="8">
        <v>0</v>
      </c>
      <c r="F200" s="7">
        <f t="shared" si="6"/>
        <v>362098.41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32000</v>
      </c>
      <c r="C202" s="5">
        <f>BIL!K221</f>
        <v>32000</v>
      </c>
      <c r="D202" s="8">
        <v>0</v>
      </c>
      <c r="E202" s="8">
        <v>0</v>
      </c>
      <c r="F202" s="7">
        <f t="shared" si="6"/>
        <v>192959.99999999997</v>
      </c>
      <c r="J202" s="8">
        <f t="shared" si="7"/>
        <v>0</v>
      </c>
    </row>
    <row r="203" spans="1:10" ht="12.75">
      <c r="A203" s="5">
        <f>BIL!I222</f>
        <v>202</v>
      </c>
      <c r="B203" s="5">
        <f>BIL!J222</f>
        <v>32000</v>
      </c>
      <c r="C203" s="5">
        <f>BIL!K222</f>
        <v>32000</v>
      </c>
      <c r="D203" s="8">
        <v>0</v>
      </c>
      <c r="E203" s="8">
        <v>0</v>
      </c>
      <c r="F203" s="7">
        <f t="shared" si="6"/>
        <v>193920</v>
      </c>
      <c r="J203" s="8">
        <f t="shared" si="7"/>
        <v>0</v>
      </c>
    </row>
    <row r="204" spans="1:10" ht="12.75">
      <c r="A204" s="5">
        <f>202+PRRAS!I19</f>
        <v>203</v>
      </c>
      <c r="B204" s="5">
        <f>PRRAS!J19</f>
        <v>197472</v>
      </c>
      <c r="C204" s="5">
        <f>PRRAS!K19</f>
        <v>189314</v>
      </c>
      <c r="D204" s="8">
        <v>0</v>
      </c>
      <c r="E204" s="8">
        <v>0</v>
      </c>
      <c r="F204" s="7">
        <f t="shared" si="6"/>
        <v>1169483</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2500</v>
      </c>
      <c r="C208" s="5">
        <f>PRRAS!K23</f>
        <v>660</v>
      </c>
      <c r="D208" s="8">
        <v>0</v>
      </c>
      <c r="E208" s="8">
        <v>0</v>
      </c>
      <c r="F208" s="7">
        <f t="shared" si="8"/>
        <v>7907.4</v>
      </c>
      <c r="J208" s="8">
        <f t="shared" si="9"/>
        <v>0</v>
      </c>
    </row>
    <row r="209" spans="1:10" ht="12.75">
      <c r="A209" s="5">
        <f>202+PRRAS!I24</f>
        <v>208</v>
      </c>
      <c r="B209" s="5">
        <f>PRRAS!J24</f>
        <v>2500</v>
      </c>
      <c r="C209" s="5">
        <f>PRRAS!K24</f>
        <v>660</v>
      </c>
      <c r="D209" s="8">
        <v>0</v>
      </c>
      <c r="E209" s="8">
        <v>0</v>
      </c>
      <c r="F209" s="7">
        <f t="shared" si="8"/>
        <v>7945.6</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165571</v>
      </c>
      <c r="C214" s="5">
        <f>PRRAS!K29</f>
        <v>164700</v>
      </c>
      <c r="D214" s="8">
        <v>0</v>
      </c>
      <c r="E214" s="8">
        <v>0</v>
      </c>
      <c r="F214" s="7">
        <f t="shared" si="8"/>
        <v>1054288.23</v>
      </c>
      <c r="J214" s="8">
        <f t="shared" si="9"/>
        <v>0</v>
      </c>
    </row>
    <row r="215" spans="1:10" ht="12.75">
      <c r="A215" s="5">
        <f>202+PRRAS!I30</f>
        <v>214</v>
      </c>
      <c r="B215" s="5">
        <f>PRRAS!J30</f>
        <v>10</v>
      </c>
      <c r="C215" s="5">
        <f>PRRAS!K30</f>
        <v>2</v>
      </c>
      <c r="D215" s="8">
        <v>0</v>
      </c>
      <c r="E215" s="8">
        <v>0</v>
      </c>
      <c r="F215" s="7">
        <f t="shared" si="8"/>
        <v>29.96</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10</v>
      </c>
      <c r="C218" s="5">
        <f>PRRAS!K33</f>
        <v>2</v>
      </c>
      <c r="D218" s="8">
        <v>0</v>
      </c>
      <c r="E218" s="8">
        <v>0</v>
      </c>
      <c r="F218" s="7">
        <f t="shared" si="8"/>
        <v>30.38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165561</v>
      </c>
      <c r="C224" s="5">
        <f>PRRAS!K39</f>
        <v>164698</v>
      </c>
      <c r="D224" s="8">
        <v>0</v>
      </c>
      <c r="E224" s="8">
        <v>0</v>
      </c>
      <c r="F224" s="7">
        <f t="shared" si="8"/>
        <v>1103754.1099999999</v>
      </c>
      <c r="J224" s="8">
        <f t="shared" si="9"/>
        <v>0</v>
      </c>
    </row>
    <row r="225" spans="1:10" ht="12.75">
      <c r="A225" s="5">
        <f>202+PRRAS!I40</f>
        <v>224</v>
      </c>
      <c r="B225" s="5">
        <f>PRRAS!J40</f>
        <v>165561</v>
      </c>
      <c r="C225" s="5">
        <f>PRRAS!K40</f>
        <v>164698</v>
      </c>
      <c r="D225" s="8">
        <v>0</v>
      </c>
      <c r="E225" s="8">
        <v>0</v>
      </c>
      <c r="F225" s="7">
        <f t="shared" si="8"/>
        <v>1108703.6800000002</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28991</v>
      </c>
      <c r="C227" s="5">
        <f>PRRAS!K42</f>
        <v>23954</v>
      </c>
      <c r="D227" s="8">
        <v>0</v>
      </c>
      <c r="E227" s="8">
        <v>0</v>
      </c>
      <c r="F227" s="7">
        <f t="shared" si="8"/>
        <v>173791.74</v>
      </c>
      <c r="J227" s="8">
        <f t="shared" si="9"/>
        <v>0</v>
      </c>
    </row>
    <row r="228" spans="1:10" ht="12.75">
      <c r="A228" s="5">
        <f>202+PRRAS!I43</f>
        <v>227</v>
      </c>
      <c r="B228" s="5">
        <f>PRRAS!J43</f>
        <v>28991</v>
      </c>
      <c r="C228" s="5">
        <f>PRRAS!K43</f>
        <v>23954</v>
      </c>
      <c r="D228" s="8">
        <v>0</v>
      </c>
      <c r="E228" s="8">
        <v>0</v>
      </c>
      <c r="F228" s="7">
        <f t="shared" si="8"/>
        <v>174560.73</v>
      </c>
      <c r="J228" s="8">
        <f t="shared" si="9"/>
        <v>0</v>
      </c>
    </row>
    <row r="229" spans="1:10" ht="12.75">
      <c r="A229" s="5">
        <f>202+PRRAS!I44</f>
        <v>228</v>
      </c>
      <c r="B229" s="5">
        <f>PRRAS!J44</f>
        <v>18520</v>
      </c>
      <c r="C229" s="5">
        <f>PRRAS!K44</f>
        <v>0</v>
      </c>
      <c r="D229" s="8">
        <v>0</v>
      </c>
      <c r="E229" s="8">
        <v>0</v>
      </c>
      <c r="F229" s="7">
        <f t="shared" si="8"/>
        <v>42225.6</v>
      </c>
      <c r="J229" s="8">
        <f t="shared" si="9"/>
        <v>0</v>
      </c>
    </row>
    <row r="230" spans="1:10" ht="12.75">
      <c r="A230" s="5">
        <f>202+PRRAS!I45</f>
        <v>229</v>
      </c>
      <c r="B230" s="5">
        <f>PRRAS!J45</f>
        <v>10471</v>
      </c>
      <c r="C230" s="5">
        <f>PRRAS!K45</f>
        <v>23954</v>
      </c>
      <c r="D230" s="8">
        <v>0</v>
      </c>
      <c r="E230" s="8">
        <v>0</v>
      </c>
      <c r="F230" s="7">
        <f t="shared" si="8"/>
        <v>133687.91</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410</v>
      </c>
      <c r="C243" s="5">
        <f>PRRAS!K58</f>
        <v>0</v>
      </c>
      <c r="D243" s="8">
        <v>0</v>
      </c>
      <c r="E243" s="8">
        <v>0</v>
      </c>
      <c r="F243" s="7">
        <f t="shared" si="8"/>
        <v>992.1999999999999</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410</v>
      </c>
      <c r="C248" s="5">
        <f>PRRAS!K63</f>
        <v>0</v>
      </c>
      <c r="D248" s="8">
        <v>0</v>
      </c>
      <c r="E248" s="8">
        <v>0</v>
      </c>
      <c r="F248" s="7">
        <f t="shared" si="8"/>
        <v>1012.7</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410</v>
      </c>
      <c r="C251" s="5">
        <f>PRRAS!K66</f>
        <v>0</v>
      </c>
      <c r="D251" s="8">
        <v>0</v>
      </c>
      <c r="E251" s="8">
        <v>0</v>
      </c>
      <c r="F251" s="7">
        <f t="shared" si="8"/>
        <v>1025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218676</v>
      </c>
      <c r="C257" s="5">
        <f>PRRAS!K73</f>
        <v>150887</v>
      </c>
      <c r="D257" s="8">
        <v>0</v>
      </c>
      <c r="E257" s="8">
        <v>0</v>
      </c>
      <c r="F257" s="7">
        <f t="shared" si="8"/>
        <v>1332352</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208364</v>
      </c>
      <c r="C270" s="5">
        <f>PRRAS!K86</f>
        <v>141092</v>
      </c>
      <c r="D270" s="8">
        <v>0</v>
      </c>
      <c r="E270" s="8">
        <v>0</v>
      </c>
      <c r="F270" s="7">
        <f t="shared" si="10"/>
        <v>1319574.12</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22998</v>
      </c>
      <c r="C275" s="5">
        <f>PRRAS!K91</f>
        <v>9454</v>
      </c>
      <c r="D275" s="8">
        <v>0</v>
      </c>
      <c r="E275" s="8">
        <v>0</v>
      </c>
      <c r="F275" s="7">
        <f t="shared" si="10"/>
        <v>114822.44</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22998</v>
      </c>
      <c r="C277" s="5">
        <f>PRRAS!K93</f>
        <v>9454</v>
      </c>
      <c r="D277" s="8">
        <v>0</v>
      </c>
      <c r="E277" s="8">
        <v>0</v>
      </c>
      <c r="F277" s="7">
        <f t="shared" si="10"/>
        <v>115660.56</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1008</v>
      </c>
      <c r="D285" s="8">
        <v>0</v>
      </c>
      <c r="E285" s="8">
        <v>0</v>
      </c>
      <c r="F285" s="7">
        <f t="shared" si="10"/>
        <v>5725.44</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1008</v>
      </c>
      <c r="D287" s="8">
        <v>0</v>
      </c>
      <c r="E287" s="8">
        <v>0</v>
      </c>
      <c r="F287" s="7">
        <f t="shared" si="10"/>
        <v>5765.759999999999</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137124</v>
      </c>
      <c r="C290" s="5">
        <f>PRRAS!K106</f>
        <v>83099</v>
      </c>
      <c r="D290" s="8">
        <v>0</v>
      </c>
      <c r="E290" s="8">
        <v>0</v>
      </c>
      <c r="F290" s="7">
        <f t="shared" si="10"/>
        <v>876600.5800000001</v>
      </c>
      <c r="J290" s="8">
        <f t="shared" si="11"/>
        <v>0</v>
      </c>
    </row>
    <row r="291" spans="1:10" ht="12.75">
      <c r="A291" s="5">
        <f>202+PRRAS!I107</f>
        <v>290</v>
      </c>
      <c r="B291" s="5">
        <f>PRRAS!J107</f>
        <v>12914</v>
      </c>
      <c r="C291" s="5">
        <f>PRRAS!K107</f>
        <v>15595</v>
      </c>
      <c r="D291" s="8">
        <v>0</v>
      </c>
      <c r="E291" s="8">
        <v>0</v>
      </c>
      <c r="F291" s="7">
        <f t="shared" si="10"/>
        <v>127901.6</v>
      </c>
      <c r="J291" s="8">
        <f t="shared" si="11"/>
        <v>0</v>
      </c>
    </row>
    <row r="292" spans="1:10" ht="12.75">
      <c r="A292" s="5">
        <f>202+PRRAS!I108</f>
        <v>291</v>
      </c>
      <c r="B292" s="5">
        <f>PRRAS!J108</f>
        <v>2481</v>
      </c>
      <c r="C292" s="5">
        <f>PRRAS!K108</f>
        <v>823</v>
      </c>
      <c r="D292" s="8">
        <v>0</v>
      </c>
      <c r="E292" s="8">
        <v>0</v>
      </c>
      <c r="F292" s="7">
        <f t="shared" si="10"/>
        <v>12009.57</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9937</v>
      </c>
      <c r="C294" s="5">
        <f>PRRAS!K110</f>
        <v>11691</v>
      </c>
      <c r="D294" s="8">
        <v>0</v>
      </c>
      <c r="E294" s="8">
        <v>0</v>
      </c>
      <c r="F294" s="7">
        <f t="shared" si="10"/>
        <v>97624.67000000001</v>
      </c>
      <c r="J294" s="8">
        <f t="shared" si="11"/>
        <v>0</v>
      </c>
    </row>
    <row r="295" spans="1:10" ht="12.75">
      <c r="A295" s="5">
        <f>202+PRRAS!I111</f>
        <v>294</v>
      </c>
      <c r="B295" s="5">
        <f>PRRAS!J111</f>
        <v>46858</v>
      </c>
      <c r="C295" s="5">
        <f>PRRAS!K111</f>
        <v>17962</v>
      </c>
      <c r="D295" s="8">
        <v>0</v>
      </c>
      <c r="E295" s="8">
        <v>0</v>
      </c>
      <c r="F295" s="7">
        <f t="shared" si="10"/>
        <v>243379.08</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13006</v>
      </c>
      <c r="C297" s="5">
        <f>PRRAS!K113</f>
        <v>19404</v>
      </c>
      <c r="D297" s="8">
        <v>0</v>
      </c>
      <c r="E297" s="8">
        <v>0</v>
      </c>
      <c r="F297" s="7">
        <f t="shared" si="10"/>
        <v>153369.44</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51928</v>
      </c>
      <c r="C299" s="5">
        <f>PRRAS!K115</f>
        <v>17624</v>
      </c>
      <c r="D299" s="8">
        <v>0</v>
      </c>
      <c r="E299" s="8">
        <v>0</v>
      </c>
      <c r="F299" s="7">
        <f t="shared" si="10"/>
        <v>259784.47999999998</v>
      </c>
      <c r="J299" s="8">
        <f t="shared" si="11"/>
        <v>0</v>
      </c>
    </row>
    <row r="300" spans="1:10" ht="12.75">
      <c r="A300" s="5">
        <f>202+PRRAS!I116</f>
        <v>299</v>
      </c>
      <c r="B300" s="5">
        <f>PRRAS!J116</f>
        <v>37727</v>
      </c>
      <c r="C300" s="5">
        <f>PRRAS!K116</f>
        <v>33234</v>
      </c>
      <c r="D300" s="8">
        <v>0</v>
      </c>
      <c r="E300" s="8">
        <v>0</v>
      </c>
      <c r="F300" s="7">
        <f t="shared" si="10"/>
        <v>311543.05000000005</v>
      </c>
      <c r="J300" s="8">
        <f t="shared" si="11"/>
        <v>0</v>
      </c>
    </row>
    <row r="301" spans="1:10" ht="12.75">
      <c r="A301" s="5">
        <f>202+PRRAS!I117</f>
        <v>300</v>
      </c>
      <c r="B301" s="5">
        <f>PRRAS!J117</f>
        <v>1586</v>
      </c>
      <c r="C301" s="5">
        <f>PRRAS!K117</f>
        <v>702</v>
      </c>
      <c r="D301" s="8">
        <v>0</v>
      </c>
      <c r="E301" s="8">
        <v>0</v>
      </c>
      <c r="F301" s="7">
        <f t="shared" si="10"/>
        <v>8970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35419</v>
      </c>
      <c r="C303" s="5">
        <f>PRRAS!K119</f>
        <v>32353</v>
      </c>
      <c r="D303" s="8">
        <v>0</v>
      </c>
      <c r="E303" s="8">
        <v>0</v>
      </c>
      <c r="F303" s="7">
        <f t="shared" si="10"/>
        <v>302377.5</v>
      </c>
      <c r="J303" s="8">
        <f t="shared" si="11"/>
        <v>0</v>
      </c>
    </row>
    <row r="304" spans="1:10" ht="12.75">
      <c r="A304" s="5">
        <f>202+PRRAS!I120</f>
        <v>303</v>
      </c>
      <c r="B304" s="5">
        <f>PRRAS!J120</f>
        <v>722</v>
      </c>
      <c r="C304" s="5">
        <f>PRRAS!K120</f>
        <v>179</v>
      </c>
      <c r="D304" s="8">
        <v>0</v>
      </c>
      <c r="E304" s="8">
        <v>0</v>
      </c>
      <c r="F304" s="7">
        <f t="shared" si="10"/>
        <v>3272.3999999999996</v>
      </c>
      <c r="J304" s="8">
        <f t="shared" si="11"/>
        <v>0</v>
      </c>
    </row>
    <row r="305" spans="1:10" ht="12.75">
      <c r="A305" s="5">
        <f>202+PRRAS!I121</f>
        <v>304</v>
      </c>
      <c r="B305" s="5">
        <f>PRRAS!J121</f>
        <v>10515</v>
      </c>
      <c r="C305" s="5">
        <f>PRRAS!K121</f>
        <v>14297</v>
      </c>
      <c r="D305" s="8">
        <v>0</v>
      </c>
      <c r="E305" s="8">
        <v>0</v>
      </c>
      <c r="F305" s="7">
        <f t="shared" si="10"/>
        <v>118891.36</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10315</v>
      </c>
      <c r="C307" s="5">
        <f>PRRAS!K123</f>
        <v>13446</v>
      </c>
      <c r="D307" s="8">
        <v>0</v>
      </c>
      <c r="E307" s="8">
        <v>0</v>
      </c>
      <c r="F307" s="7">
        <f t="shared" si="10"/>
        <v>113853.42000000001</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200</v>
      </c>
      <c r="C310" s="5">
        <f>PRRAS!K126</f>
        <v>851</v>
      </c>
      <c r="D310" s="8">
        <v>0</v>
      </c>
      <c r="E310" s="8">
        <v>0</v>
      </c>
      <c r="F310" s="7">
        <f t="shared" si="10"/>
        <v>5877.179999999999</v>
      </c>
      <c r="J310" s="8">
        <f t="shared" si="11"/>
        <v>0</v>
      </c>
    </row>
    <row r="311" spans="1:10" ht="12.75">
      <c r="A311" s="5">
        <f>202+PRRAS!I127</f>
        <v>310</v>
      </c>
      <c r="B311" s="5">
        <f>PRRAS!J127</f>
        <v>2881</v>
      </c>
      <c r="C311" s="5">
        <f>PRRAS!K127</f>
        <v>2881</v>
      </c>
      <c r="D311" s="8">
        <v>0</v>
      </c>
      <c r="E311" s="8">
        <v>0</v>
      </c>
      <c r="F311" s="7">
        <f t="shared" si="10"/>
        <v>26793.300000000003</v>
      </c>
      <c r="J311" s="8">
        <f t="shared" si="11"/>
        <v>0</v>
      </c>
    </row>
    <row r="312" spans="1:10" ht="12.75">
      <c r="A312" s="5">
        <f>202+PRRAS!I128</f>
        <v>311</v>
      </c>
      <c r="B312" s="5">
        <f>PRRAS!J128</f>
        <v>2431</v>
      </c>
      <c r="C312" s="5">
        <f>PRRAS!K128</f>
        <v>6914</v>
      </c>
      <c r="D312" s="8">
        <v>0</v>
      </c>
      <c r="E312" s="8">
        <v>0</v>
      </c>
      <c r="F312" s="7">
        <f t="shared" si="10"/>
        <v>50565.490000000005</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2431</v>
      </c>
      <c r="C318" s="5">
        <f>PRRAS!K134</f>
        <v>6914</v>
      </c>
      <c r="D318" s="8">
        <v>0</v>
      </c>
      <c r="E318" s="8">
        <v>0</v>
      </c>
      <c r="F318" s="7">
        <f t="shared" si="10"/>
        <v>51541.03</v>
      </c>
      <c r="J318" s="8">
        <f t="shared" si="11"/>
        <v>0</v>
      </c>
    </row>
    <row r="319" spans="1:10" ht="12.75">
      <c r="A319" s="5">
        <f>202+PRRAS!I135</f>
        <v>318</v>
      </c>
      <c r="B319" s="5">
        <f>PRRAS!J135</f>
        <v>2421</v>
      </c>
      <c r="C319" s="5">
        <f>PRRAS!K135</f>
        <v>3119</v>
      </c>
      <c r="D319" s="8">
        <v>0</v>
      </c>
      <c r="E319" s="8">
        <v>0</v>
      </c>
      <c r="F319" s="7">
        <f t="shared" si="10"/>
        <v>27535.620000000003</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10</v>
      </c>
      <c r="C321" s="5">
        <f>PRRAS!K137</f>
        <v>485</v>
      </c>
      <c r="D321" s="8">
        <v>0</v>
      </c>
      <c r="E321" s="8">
        <v>0</v>
      </c>
      <c r="F321" s="7">
        <f t="shared" si="10"/>
        <v>3136</v>
      </c>
      <c r="J321" s="8">
        <f t="shared" si="11"/>
        <v>0</v>
      </c>
    </row>
    <row r="322" spans="1:10" ht="12.75">
      <c r="A322" s="5">
        <f>202+PRRAS!I138</f>
        <v>321</v>
      </c>
      <c r="B322" s="5">
        <f>PRRAS!J138</f>
        <v>0</v>
      </c>
      <c r="C322" s="5">
        <f>PRRAS!K138</f>
        <v>3310</v>
      </c>
      <c r="D322" s="8">
        <v>0</v>
      </c>
      <c r="E322" s="8">
        <v>0</v>
      </c>
      <c r="F322" s="7">
        <f t="shared" si="10"/>
        <v>21250.2</v>
      </c>
      <c r="J322" s="8">
        <f t="shared" si="11"/>
        <v>0</v>
      </c>
    </row>
    <row r="323" spans="1:10" ht="12.75">
      <c r="A323" s="5">
        <f>202+PRRAS!I139</f>
        <v>322</v>
      </c>
      <c r="B323" s="5">
        <f>PRRAS!J139</f>
        <v>5000</v>
      </c>
      <c r="C323" s="5">
        <f>PRRAS!K139</f>
        <v>0</v>
      </c>
      <c r="D323" s="8">
        <v>0</v>
      </c>
      <c r="E323" s="8">
        <v>0</v>
      </c>
      <c r="F323" s="7">
        <f t="shared" si="10"/>
        <v>16100.000000000002</v>
      </c>
      <c r="J323" s="8">
        <f t="shared" si="11"/>
        <v>0</v>
      </c>
    </row>
    <row r="324" spans="1:10" ht="12.75">
      <c r="A324" s="5">
        <f>202+PRRAS!I140</f>
        <v>323</v>
      </c>
      <c r="B324" s="5">
        <f>PRRAS!J140</f>
        <v>5000</v>
      </c>
      <c r="C324" s="5">
        <f>PRRAS!K140</f>
        <v>0</v>
      </c>
      <c r="D324" s="8">
        <v>0</v>
      </c>
      <c r="E324" s="8">
        <v>0</v>
      </c>
      <c r="F324" s="7">
        <f t="shared" si="10"/>
        <v>16150</v>
      </c>
      <c r="J324" s="8">
        <f t="shared" si="11"/>
        <v>0</v>
      </c>
    </row>
    <row r="325" spans="1:10" ht="12.75">
      <c r="A325" s="5">
        <f>202+PRRAS!I141</f>
        <v>324</v>
      </c>
      <c r="B325" s="5">
        <f>PRRAS!J141</f>
        <v>5000</v>
      </c>
      <c r="C325" s="5">
        <f>PRRAS!K141</f>
        <v>0</v>
      </c>
      <c r="D325" s="8">
        <v>0</v>
      </c>
      <c r="E325" s="8">
        <v>0</v>
      </c>
      <c r="F325" s="7">
        <f t="shared" si="10"/>
        <v>16200.000000000002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218676</v>
      </c>
      <c r="C351" s="5">
        <f>PRRAS!K167</f>
        <v>150887</v>
      </c>
      <c r="D351" s="8">
        <v>0</v>
      </c>
      <c r="E351" s="8">
        <v>0</v>
      </c>
      <c r="F351" s="7">
        <f t="shared" si="12"/>
        <v>1821575</v>
      </c>
      <c r="J351" s="8">
        <f t="shared" si="13"/>
        <v>0</v>
      </c>
    </row>
    <row r="352" spans="1:10" ht="12.75">
      <c r="A352" s="5">
        <f>202+PRRAS!I168</f>
        <v>351</v>
      </c>
      <c r="B352" s="5">
        <f>PRRAS!J168</f>
        <v>0</v>
      </c>
      <c r="C352" s="5">
        <f>PRRAS!K168</f>
        <v>38427</v>
      </c>
      <c r="D352" s="8">
        <v>0</v>
      </c>
      <c r="E352" s="8">
        <v>0</v>
      </c>
      <c r="F352" s="7">
        <f t="shared" si="12"/>
        <v>269757.54</v>
      </c>
      <c r="J352" s="8">
        <f t="shared" si="13"/>
        <v>0</v>
      </c>
    </row>
    <row r="353" spans="1:10" ht="12.75">
      <c r="A353" s="5">
        <f>202+PRRAS!I169</f>
        <v>352</v>
      </c>
      <c r="B353" s="5">
        <f>PRRAS!J169</f>
        <v>21204</v>
      </c>
      <c r="C353" s="5">
        <f>PRRAS!K169</f>
        <v>0</v>
      </c>
      <c r="D353" s="8">
        <v>0</v>
      </c>
      <c r="E353" s="8">
        <v>0</v>
      </c>
      <c r="F353" s="7">
        <f t="shared" si="12"/>
        <v>74638.08</v>
      </c>
      <c r="J353" s="8">
        <f t="shared" si="13"/>
        <v>0</v>
      </c>
    </row>
    <row r="354" spans="1:10" ht="12.75">
      <c r="A354" s="5">
        <f>202+PRRAS!I170</f>
        <v>353</v>
      </c>
      <c r="B354" s="5">
        <f>PRRAS!J170</f>
        <v>56241</v>
      </c>
      <c r="C354" s="5">
        <f>PRRAS!K170</f>
        <v>35034</v>
      </c>
      <c r="D354" s="8">
        <v>0</v>
      </c>
      <c r="E354" s="8">
        <v>0</v>
      </c>
      <c r="F354" s="7">
        <f t="shared" si="12"/>
        <v>445870.76999999996</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35037</v>
      </c>
      <c r="C357" s="5">
        <f>PRRAS!K173</f>
        <v>73461</v>
      </c>
      <c r="D357" s="8">
        <v>0</v>
      </c>
      <c r="E357" s="8">
        <v>0</v>
      </c>
      <c r="F357" s="7">
        <f t="shared" si="12"/>
        <v>647774.04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22112</v>
      </c>
      <c r="C359" s="5">
        <f>PRRAS!K176</f>
        <v>8390</v>
      </c>
      <c r="D359" s="8">
        <v>0</v>
      </c>
      <c r="E359" s="8">
        <v>0</v>
      </c>
      <c r="F359" s="7">
        <f t="shared" si="12"/>
        <v>139233.36000000002</v>
      </c>
      <c r="J359" s="8">
        <f t="shared" si="13"/>
        <v>0</v>
      </c>
    </row>
    <row r="360" spans="1:10" ht="12.75">
      <c r="A360" s="5">
        <f>202+PRRAS!I177</f>
        <v>359</v>
      </c>
      <c r="B360" s="5">
        <f>PRRAS!J177</f>
        <v>214014</v>
      </c>
      <c r="C360" s="5">
        <f>PRRAS!K177</f>
        <v>184112</v>
      </c>
      <c r="D360" s="8">
        <v>0</v>
      </c>
      <c r="E360" s="8">
        <v>0</v>
      </c>
      <c r="F360" s="7">
        <f t="shared" si="12"/>
        <v>2090234.42</v>
      </c>
      <c r="J360" s="8">
        <f t="shared" si="13"/>
        <v>0</v>
      </c>
    </row>
    <row r="361" spans="1:10" ht="12.75">
      <c r="A361" s="5">
        <f>202+PRRAS!I178</f>
        <v>360</v>
      </c>
      <c r="B361" s="5">
        <f>PRRAS!J178</f>
        <v>227736</v>
      </c>
      <c r="C361" s="5">
        <f>PRRAS!K178</f>
        <v>187402</v>
      </c>
      <c r="D361" s="8">
        <v>0</v>
      </c>
      <c r="E361" s="8">
        <v>0</v>
      </c>
      <c r="F361" s="7">
        <f t="shared" si="12"/>
        <v>2169144</v>
      </c>
      <c r="J361" s="8">
        <f t="shared" si="13"/>
        <v>0</v>
      </c>
    </row>
    <row r="362" spans="1:10" ht="12.75">
      <c r="A362" s="5">
        <f>202+PRRAS!I179</f>
        <v>361</v>
      </c>
      <c r="B362" s="5">
        <f>PRRAS!J179</f>
        <v>8390</v>
      </c>
      <c r="C362" s="5">
        <f>PRRAS!K179</f>
        <v>5100</v>
      </c>
      <c r="D362" s="8">
        <v>0</v>
      </c>
      <c r="E362" s="8">
        <v>0</v>
      </c>
      <c r="F362" s="7">
        <f t="shared" si="12"/>
        <v>67109.9</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HR9024070001100117725</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03545563</v>
      </c>
      <c r="I3" s="9" t="s">
        <v>3064</v>
      </c>
      <c r="J3" s="8">
        <f t="shared" si="1"/>
        <v>0</v>
      </c>
    </row>
    <row r="4" spans="1:10" ht="12.75">
      <c r="A4" s="5">
        <v>3</v>
      </c>
      <c r="B4" s="8">
        <v>0</v>
      </c>
      <c r="C4" s="8">
        <v>0</v>
      </c>
      <c r="D4" s="8">
        <v>0</v>
      </c>
      <c r="E4" s="8">
        <v>0</v>
      </c>
      <c r="F4" s="7">
        <f t="shared" si="0"/>
        <v>0</v>
      </c>
      <c r="G4" s="6" t="str">
        <f>IF(ISERROR(RefStr!C7),"-",UPPER(TRIM(RefStr!C7)))</f>
        <v>SRANKA DEMOKRATSKE AKCIJE HRVATSKE - SDAH</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MANDALIČINA 17</v>
      </c>
      <c r="I7" s="9" t="s">
        <v>3068</v>
      </c>
      <c r="J7" s="8">
        <f t="shared" si="1"/>
        <v>0</v>
      </c>
    </row>
    <row r="8" spans="1:10" ht="12.75">
      <c r="A8" s="5">
        <v>7</v>
      </c>
      <c r="B8" s="8">
        <v>0</v>
      </c>
      <c r="C8" s="8">
        <v>0</v>
      </c>
      <c r="D8" s="8">
        <v>0</v>
      </c>
      <c r="E8" s="8">
        <v>0</v>
      </c>
      <c r="F8" s="7">
        <f t="shared" si="0"/>
        <v>0</v>
      </c>
      <c r="G8" s="6" t="str">
        <f>TEXT(INT(VALUE(RefStr!C15)),"0000")</f>
        <v>9492</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MIRSAD SREBRENIKOVIĆ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MELIKA TESKEREDŽIĆ</v>
      </c>
      <c r="I20" s="9" t="s">
        <v>2673</v>
      </c>
      <c r="J20" s="8">
        <f t="shared" si="1"/>
        <v>0</v>
      </c>
    </row>
    <row r="21" spans="1:10" ht="12.75">
      <c r="A21" s="5">
        <v>20</v>
      </c>
      <c r="B21" s="8">
        <v>0</v>
      </c>
      <c r="C21" s="8">
        <v>0</v>
      </c>
      <c r="D21" s="8">
        <v>0</v>
      </c>
      <c r="E21" s="8">
        <v>0</v>
      </c>
      <c r="F21" s="7">
        <f t="shared" si="0"/>
        <v>0</v>
      </c>
      <c r="G21" s="6" t="str">
        <f>IF(ISERROR(RefStr!D45),"-",UPPER(TRIM(RefStr!D45)))</f>
        <v>0912121140</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f>IF(ISERROR(RefStr!D49),"-",LOWER(TRIM(RefStr!D49)))</f>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19621827951</v>
      </c>
      <c r="I38" s="9" t="s">
        <v>1861</v>
      </c>
      <c r="J38" s="8">
        <f t="shared" si="3"/>
        <v>0</v>
      </c>
    </row>
    <row r="39" spans="1:10" ht="12.75">
      <c r="A39" s="5">
        <v>38</v>
      </c>
      <c r="B39" s="8">
        <v>0</v>
      </c>
      <c r="C39" s="8">
        <v>0</v>
      </c>
      <c r="D39" s="8">
        <v>0</v>
      </c>
      <c r="E39" s="8">
        <v>0</v>
      </c>
      <c r="F39" s="7">
        <f t="shared" si="2"/>
        <v>0</v>
      </c>
      <c r="G39" s="6" t="str">
        <f>TEXT(INT(VALUE(RefStr!J9)),"00000")</f>
        <v>145110</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23487846.82999999</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HR9024070001100117725</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03545563</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SRANKA DEMOKRATSKE AKCIJE HRVATSKE - SDAH</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MANDALIČINA 17</v>
      </c>
      <c r="I7" s="9" t="s">
        <v>3068</v>
      </c>
      <c r="J7" s="8">
        <f t="shared" si="1"/>
        <v>0</v>
      </c>
    </row>
    <row r="8" spans="1:10" ht="12.75">
      <c r="A8" s="5">
        <f>GPRIZNPF!I25</f>
        <v>7</v>
      </c>
      <c r="B8" s="8">
        <f>GPRIZNPF!J25</f>
        <v>0</v>
      </c>
      <c r="C8" s="8">
        <f>GPRIZNPF!K25</f>
        <v>0</v>
      </c>
      <c r="D8" s="8">
        <v>0</v>
      </c>
      <c r="E8" s="8">
        <v>0</v>
      </c>
      <c r="F8" s="7">
        <f t="shared" si="0"/>
        <v>0</v>
      </c>
      <c r="G8" s="6" t="str">
        <f>TEXT(INT(VALUE(RefStr!C15)),"0000")</f>
        <v>9492</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MIRSAD SREBRENIKOVIĆ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MELIKA TESKEREDŽIĆ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0912121140</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19621827951</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145110</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23487846.82999999</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37" activePane="bottomLeft" state="frozen"/>
      <selection pane="topLeft" activeCell="A1" sqref="A1"/>
      <selection pane="bottomLeft" activeCell="F45" sqref="F4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10000</v>
      </c>
      <c r="D9" s="96" t="s">
        <v>2029</v>
      </c>
      <c r="E9" s="346" t="s">
        <v>3074</v>
      </c>
      <c r="F9" s="350"/>
      <c r="G9" s="350"/>
      <c r="H9" s="351"/>
      <c r="I9" s="116" t="s">
        <v>791</v>
      </c>
      <c r="J9" s="75">
        <v>145110</v>
      </c>
    </row>
    <row r="10" spans="2:10" ht="4.5" customHeight="1">
      <c r="B10" s="46"/>
      <c r="C10" s="46"/>
      <c r="D10" s="112"/>
      <c r="E10" s="110"/>
      <c r="F10" s="110"/>
      <c r="G10" s="110"/>
      <c r="H10" s="110"/>
      <c r="I10" s="110"/>
      <c r="J10" s="111"/>
    </row>
    <row r="11" spans="2:11" ht="15" customHeight="1">
      <c r="B11" s="96" t="s">
        <v>12</v>
      </c>
      <c r="C11" s="346" t="s">
        <v>3076</v>
      </c>
      <c r="D11" s="347"/>
      <c r="E11" s="347"/>
      <c r="F11" s="347"/>
      <c r="G11" s="347"/>
      <c r="H11" s="349"/>
      <c r="I11" s="117" t="s">
        <v>1530</v>
      </c>
      <c r="J11" s="42" t="s">
        <v>3075</v>
      </c>
      <c r="K11" s="111"/>
    </row>
    <row r="12" spans="2:10" ht="4.5" customHeight="1">
      <c r="B12" s="46"/>
      <c r="C12" s="46"/>
      <c r="D12" s="112"/>
      <c r="E12" s="110"/>
      <c r="F12" s="110"/>
      <c r="G12" s="110"/>
      <c r="H12" s="110"/>
      <c r="I12" s="110"/>
      <c r="J12" s="111"/>
    </row>
    <row r="13" spans="2:10" ht="15" customHeight="1">
      <c r="B13" s="96" t="s">
        <v>2727</v>
      </c>
      <c r="C13" s="368" t="s">
        <v>3077</v>
      </c>
      <c r="D13" s="369"/>
      <c r="E13" s="370"/>
      <c r="G13" s="3"/>
      <c r="H13" s="47"/>
      <c r="I13" s="116" t="s">
        <v>792</v>
      </c>
      <c r="J13" s="74">
        <v>19621827951</v>
      </c>
    </row>
    <row r="14" spans="2:10" ht="4.5" customHeight="1">
      <c r="B14" s="46"/>
      <c r="C14" s="46"/>
      <c r="D14" s="112"/>
      <c r="E14" s="110"/>
      <c r="F14" s="110"/>
      <c r="G14" s="110"/>
      <c r="H14" s="110"/>
      <c r="I14" s="110"/>
      <c r="J14" s="111"/>
    </row>
    <row r="15" spans="2:10" ht="15" customHeight="1">
      <c r="B15" s="117" t="s">
        <v>14</v>
      </c>
      <c r="C15" s="42" t="s">
        <v>2469</v>
      </c>
      <c r="D15" s="357" t="str">
        <f>IF(C15&lt;&gt;"",LOOKUP(C15,T23:T640,U23:U640),"")</f>
        <v>Djelatnosti političkih organizacija</v>
      </c>
      <c r="E15" s="358"/>
      <c r="F15" s="358"/>
      <c r="G15" s="358"/>
      <c r="H15" s="358"/>
      <c r="I15" s="117" t="s">
        <v>2857</v>
      </c>
      <c r="J15" s="282" t="s">
        <v>360</v>
      </c>
    </row>
    <row r="16" spans="4:8" ht="4.5" customHeight="1">
      <c r="D16" s="3"/>
      <c r="E16" s="114"/>
      <c r="F16" s="48"/>
      <c r="G16" s="115"/>
      <c r="H16" s="3"/>
    </row>
    <row r="17" spans="2:10" ht="15" customHeight="1">
      <c r="B17" s="224" t="s">
        <v>2858</v>
      </c>
      <c r="C17" s="76">
        <v>133</v>
      </c>
      <c r="D17" s="357" t="str">
        <f>IF(C17&lt;&gt;"","Grad/općina: "&amp;LOOKUP(C17,M23:M580,N23:N580),"")</f>
        <v>Grad/općina: GRAD ZAGREB</v>
      </c>
      <c r="E17" s="358"/>
      <c r="F17" s="358"/>
      <c r="G17" s="358"/>
      <c r="H17" s="358"/>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23487846.82999999</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108241</v>
      </c>
      <c r="J24" s="213">
        <f>BIL!K19</f>
        <v>129323</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108241</v>
      </c>
      <c r="J25" s="216">
        <f>BIL!K164</f>
        <v>129323</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197472</v>
      </c>
      <c r="J27" s="213">
        <f>PRRAS!K19</f>
        <v>189314</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218676</v>
      </c>
      <c r="J28" s="215">
        <f>PRRAS!K167</f>
        <v>150887</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35037</v>
      </c>
      <c r="J29" s="215">
        <f>PRRAS!K173</f>
        <v>73461</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0"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3078</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43514</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3079</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3080</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2" activePane="bottomLeft" state="frozen"/>
      <selection pane="topLeft" activeCell="A1" sqref="A1"/>
      <selection pane="bottomLeft" activeCell="K171" sqref="K17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SRANKA DEMOKRATSKE AKCIJE HRVATSKE - SDAH</v>
      </c>
      <c r="E7" s="444"/>
      <c r="F7" s="444"/>
      <c r="G7" s="444"/>
      <c r="H7" s="444"/>
      <c r="I7" s="444"/>
      <c r="J7" s="444"/>
      <c r="K7" s="444"/>
      <c r="L7" s="444"/>
      <c r="P7" s="27" t="s">
        <v>1611</v>
      </c>
    </row>
    <row r="8" spans="2:12" s="118" customFormat="1" ht="18" customHeight="1" thickBot="1">
      <c r="B8" s="416" t="s">
        <v>2026</v>
      </c>
      <c r="C8" s="416"/>
      <c r="D8" s="231">
        <f>IF(RefStr!N4=1,IF(RefStr!C9&lt;&gt;"",RefStr!C9,""),"")</f>
        <v>10000</v>
      </c>
      <c r="E8" s="121"/>
      <c r="F8" s="128" t="s">
        <v>2029</v>
      </c>
      <c r="G8" s="423" t="str">
        <f>IF(RefStr!N4=1,IF(RefStr!E9&lt;&gt;"",RefStr!E9,""),"")</f>
        <v>ZAGREB</v>
      </c>
      <c r="H8" s="424"/>
      <c r="I8" s="424"/>
      <c r="J8" s="424"/>
      <c r="K8" s="424"/>
      <c r="L8" s="424"/>
    </row>
    <row r="9" spans="2:12" s="118" customFormat="1" ht="18" customHeight="1" thickBot="1">
      <c r="B9" s="416" t="s">
        <v>12</v>
      </c>
      <c r="C9" s="416"/>
      <c r="D9" s="423" t="str">
        <f>IF(RefStr!N4=1,IF(RefStr!C11&lt;&gt;"",RefStr!C11,""),"")</f>
        <v>MANDALIČINA 17</v>
      </c>
      <c r="E9" s="423"/>
      <c r="F9" s="423"/>
      <c r="G9" s="423"/>
      <c r="H9" s="423"/>
      <c r="I9" s="423"/>
      <c r="J9" s="423"/>
      <c r="K9" s="423"/>
      <c r="L9" s="423"/>
    </row>
    <row r="10" spans="2:12" s="118" customFormat="1" ht="18" customHeight="1" thickBot="1">
      <c r="B10" s="416" t="s">
        <v>2727</v>
      </c>
      <c r="C10" s="416" t="s">
        <v>2856</v>
      </c>
      <c r="D10" s="428" t="str">
        <f>IF(RefStr!N4=1,IF(RefStr!C13&lt;&gt;"",RefStr!C13,""),"")</f>
        <v>HR9024070001100117725</v>
      </c>
      <c r="E10" s="429"/>
      <c r="F10" s="429"/>
      <c r="G10" s="122"/>
      <c r="H10" s="122"/>
      <c r="I10" s="136"/>
      <c r="J10" s="128" t="s">
        <v>791</v>
      </c>
      <c r="K10" s="227">
        <f>IF(RefStr!N4=1,IF(RefStr!J9&lt;&gt;"",RefStr!J9,""),"")</f>
        <v>145110</v>
      </c>
      <c r="L10" s="136"/>
    </row>
    <row r="11" spans="2:12" s="118" customFormat="1" ht="18" customHeight="1" thickBot="1">
      <c r="B11" s="396" t="s">
        <v>14</v>
      </c>
      <c r="C11" s="397"/>
      <c r="D11" s="120" t="str">
        <f>IF(RefStr!N4=1,IF(RefStr!C15&lt;&gt;"",RefStr!C15,""),"")</f>
        <v>9492</v>
      </c>
      <c r="E11" s="232" t="str">
        <f>IF(RefStr!D15&lt;&gt;"",RefStr!D15,"")</f>
        <v>Djelatnosti političkih organizacija</v>
      </c>
      <c r="F11" s="123"/>
      <c r="G11" s="136"/>
      <c r="H11" s="136"/>
      <c r="I11" s="137"/>
      <c r="J11" s="208" t="s">
        <v>1530</v>
      </c>
      <c r="K11" s="226" t="str">
        <f>IF(RefStr!N4=1,IF(RefStr!J11&lt;&gt;"",RefStr!J11,""),"")</f>
        <v>03545563</v>
      </c>
      <c r="L11" s="136"/>
    </row>
    <row r="12" spans="2:12" s="118" customFormat="1" ht="18" customHeight="1" thickBot="1">
      <c r="B12" s="416" t="s">
        <v>2858</v>
      </c>
      <c r="C12" s="397"/>
      <c r="D12" s="124">
        <f>IF(RefStr!N4=1,IF(RefStr!C17&lt;&gt;"",RefStr!C17,""),"")</f>
        <v>133</v>
      </c>
      <c r="E12" s="233" t="str">
        <f>IF(RefStr!D17&lt;&gt;"",RefStr!D17,"")</f>
        <v>Grad/općina: GRAD ZAGREB</v>
      </c>
      <c r="F12" s="125"/>
      <c r="G12" s="122"/>
      <c r="H12" s="122"/>
      <c r="I12" s="126"/>
      <c r="J12" s="208" t="s">
        <v>792</v>
      </c>
      <c r="K12" s="417">
        <f>IF(RefStr!N4=1,IF(RefStr!J13&lt;&gt;"",RefStr!J13,""),"")</f>
        <v>19621827951</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197472</v>
      </c>
      <c r="K19" s="272">
        <f>K20+K23+K26+K29+K42+K58+K67</f>
        <v>189314</v>
      </c>
      <c r="L19" s="78">
        <f>IF(J19&gt;0,IF(K19/J19&gt;=100,"&gt;&gt;100",K19/J19*100),"-")</f>
        <v>95.86878139685626</v>
      </c>
    </row>
    <row r="20" spans="2:12" ht="12.75">
      <c r="B20" s="284">
        <v>31</v>
      </c>
      <c r="C20" s="389" t="s">
        <v>236</v>
      </c>
      <c r="D20" s="389"/>
      <c r="E20" s="389"/>
      <c r="F20" s="389"/>
      <c r="G20" s="389"/>
      <c r="H20" s="389"/>
      <c r="I20" s="142">
        <v>2</v>
      </c>
      <c r="J20" s="273">
        <f>J21+J22</f>
        <v>0</v>
      </c>
      <c r="K20" s="273">
        <f>K21+K22</f>
        <v>0</v>
      </c>
      <c r="L20" s="79" t="str">
        <f>IF(J20&gt;0,IF(K20/J20&gt;=100,"&gt;&gt;100",K20/J20*100),"-")</f>
        <v>-</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c r="K22" s="80"/>
      <c r="L22" s="79" t="str">
        <f t="shared" si="0"/>
        <v>-</v>
      </c>
    </row>
    <row r="23" spans="2:12" ht="12.75">
      <c r="B23" s="284">
        <v>32</v>
      </c>
      <c r="C23" s="389" t="s">
        <v>237</v>
      </c>
      <c r="D23" s="389"/>
      <c r="E23" s="389"/>
      <c r="F23" s="389"/>
      <c r="G23" s="389"/>
      <c r="H23" s="389"/>
      <c r="I23" s="142">
        <v>5</v>
      </c>
      <c r="J23" s="273">
        <f>J24+J25</f>
        <v>2500</v>
      </c>
      <c r="K23" s="273">
        <f>K24+K25</f>
        <v>660</v>
      </c>
      <c r="L23" s="79">
        <f t="shared" si="0"/>
        <v>26.400000000000002</v>
      </c>
    </row>
    <row r="24" spans="2:12" ht="12.75">
      <c r="B24" s="284">
        <v>3211</v>
      </c>
      <c r="C24" s="389" t="s">
        <v>2735</v>
      </c>
      <c r="D24" s="389"/>
      <c r="E24" s="389"/>
      <c r="F24" s="389"/>
      <c r="G24" s="389"/>
      <c r="H24" s="389"/>
      <c r="I24" s="142">
        <v>6</v>
      </c>
      <c r="J24" s="80">
        <v>2500</v>
      </c>
      <c r="K24" s="80">
        <v>660</v>
      </c>
      <c r="L24" s="79">
        <f t="shared" si="0"/>
        <v>26.400000000000002</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0</v>
      </c>
      <c r="K26" s="273">
        <f>K27+K28</f>
        <v>0</v>
      </c>
      <c r="L26" s="79" t="str">
        <f t="shared" si="0"/>
        <v>-</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c r="K28" s="80"/>
      <c r="L28" s="79" t="str">
        <f t="shared" si="0"/>
        <v>-</v>
      </c>
    </row>
    <row r="29" spans="2:12" ht="12.75">
      <c r="B29" s="284">
        <v>34</v>
      </c>
      <c r="C29" s="389" t="s">
        <v>239</v>
      </c>
      <c r="D29" s="389"/>
      <c r="E29" s="389"/>
      <c r="F29" s="389"/>
      <c r="G29" s="389"/>
      <c r="H29" s="389"/>
      <c r="I29" s="142">
        <v>11</v>
      </c>
      <c r="J29" s="273">
        <f>J30+J39</f>
        <v>165571</v>
      </c>
      <c r="K29" s="273">
        <f>K30+K39</f>
        <v>164700</v>
      </c>
      <c r="L29" s="79">
        <f t="shared" si="0"/>
        <v>99.47394169268773</v>
      </c>
    </row>
    <row r="30" spans="2:12" ht="12.75">
      <c r="B30" s="284">
        <v>341</v>
      </c>
      <c r="C30" s="389" t="s">
        <v>240</v>
      </c>
      <c r="D30" s="389"/>
      <c r="E30" s="389"/>
      <c r="F30" s="389"/>
      <c r="G30" s="389"/>
      <c r="H30" s="389"/>
      <c r="I30" s="142">
        <v>12</v>
      </c>
      <c r="J30" s="273">
        <f>SUM(J31:J38)</f>
        <v>10</v>
      </c>
      <c r="K30" s="273">
        <f>SUM(K31:K38)</f>
        <v>2</v>
      </c>
      <c r="L30" s="79">
        <f t="shared" si="0"/>
        <v>20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10</v>
      </c>
      <c r="K33" s="80">
        <v>2</v>
      </c>
      <c r="L33" s="79">
        <f t="shared" si="0"/>
        <v>20</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165561</v>
      </c>
      <c r="K39" s="273">
        <f>K40+K41</f>
        <v>164698</v>
      </c>
      <c r="L39" s="79">
        <f t="shared" si="0"/>
        <v>99.47874197425722</v>
      </c>
    </row>
    <row r="40" spans="2:12" ht="12.75">
      <c r="B40" s="284">
        <v>3421</v>
      </c>
      <c r="C40" s="389" t="s">
        <v>1847</v>
      </c>
      <c r="D40" s="389"/>
      <c r="E40" s="389"/>
      <c r="F40" s="389"/>
      <c r="G40" s="389"/>
      <c r="H40" s="389"/>
      <c r="I40" s="142">
        <v>22</v>
      </c>
      <c r="J40" s="80">
        <v>165561</v>
      </c>
      <c r="K40" s="80">
        <v>164698</v>
      </c>
      <c r="L40" s="79">
        <f t="shared" si="0"/>
        <v>99.47874197425722</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28991</v>
      </c>
      <c r="K42" s="273">
        <f>K43+K48+K51+K54+K55</f>
        <v>23954</v>
      </c>
      <c r="L42" s="79">
        <f t="shared" si="0"/>
        <v>82.62564244075747</v>
      </c>
    </row>
    <row r="43" spans="2:12" ht="12.75" customHeight="1">
      <c r="B43" s="284">
        <v>351</v>
      </c>
      <c r="C43" s="400" t="s">
        <v>2106</v>
      </c>
      <c r="D43" s="400"/>
      <c r="E43" s="400"/>
      <c r="F43" s="400"/>
      <c r="G43" s="400"/>
      <c r="H43" s="400"/>
      <c r="I43" s="142">
        <v>25</v>
      </c>
      <c r="J43" s="273">
        <f>SUM(J44:J47)</f>
        <v>28991</v>
      </c>
      <c r="K43" s="273">
        <f>SUM(K44:K47)</f>
        <v>23954</v>
      </c>
      <c r="L43" s="79">
        <f t="shared" si="0"/>
        <v>82.62564244075747</v>
      </c>
    </row>
    <row r="44" spans="2:12" ht="12.75">
      <c r="B44" s="284">
        <v>3511</v>
      </c>
      <c r="C44" s="389" t="s">
        <v>1849</v>
      </c>
      <c r="D44" s="389"/>
      <c r="E44" s="389"/>
      <c r="F44" s="389"/>
      <c r="G44" s="389"/>
      <c r="H44" s="389"/>
      <c r="I44" s="142">
        <v>26</v>
      </c>
      <c r="J44" s="80">
        <v>18520</v>
      </c>
      <c r="K44" s="80"/>
      <c r="L44" s="79">
        <f t="shared" si="0"/>
        <v>0</v>
      </c>
    </row>
    <row r="45" spans="2:12" ht="12.75">
      <c r="B45" s="284">
        <v>3512</v>
      </c>
      <c r="C45" s="389" t="s">
        <v>1850</v>
      </c>
      <c r="D45" s="389"/>
      <c r="E45" s="389"/>
      <c r="F45" s="389"/>
      <c r="G45" s="389"/>
      <c r="H45" s="389"/>
      <c r="I45" s="142">
        <v>27</v>
      </c>
      <c r="J45" s="80">
        <v>10471</v>
      </c>
      <c r="K45" s="80">
        <f>7140+16814</f>
        <v>23954</v>
      </c>
      <c r="L45" s="79">
        <f t="shared" si="0"/>
        <v>228.76516092063795</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0</v>
      </c>
      <c r="K51" s="273">
        <f>K52+K53</f>
        <v>0</v>
      </c>
      <c r="L51" s="79" t="str">
        <f t="shared" si="0"/>
        <v>-</v>
      </c>
    </row>
    <row r="52" spans="2:12" ht="12.75" customHeight="1">
      <c r="B52" s="284">
        <v>3531</v>
      </c>
      <c r="C52" s="400" t="s">
        <v>2681</v>
      </c>
      <c r="D52" s="400"/>
      <c r="E52" s="400"/>
      <c r="F52" s="400"/>
      <c r="G52" s="400"/>
      <c r="H52" s="400"/>
      <c r="I52" s="142">
        <v>34</v>
      </c>
      <c r="J52" s="80"/>
      <c r="K52" s="80"/>
      <c r="L52" s="79" t="str">
        <f t="shared" si="0"/>
        <v>-</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410</v>
      </c>
      <c r="K58" s="273">
        <f>K59+K62+K63</f>
        <v>0</v>
      </c>
      <c r="L58" s="79">
        <f t="shared" si="0"/>
        <v>0</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410</v>
      </c>
      <c r="K63" s="273">
        <f>SUM(K64:K66)</f>
        <v>0</v>
      </c>
      <c r="L63" s="79">
        <f t="shared" si="0"/>
        <v>0</v>
      </c>
    </row>
    <row r="64" spans="2:12" ht="12.75">
      <c r="B64" s="284">
        <v>3631</v>
      </c>
      <c r="C64" s="389" t="s">
        <v>1853</v>
      </c>
      <c r="D64" s="389"/>
      <c r="E64" s="389"/>
      <c r="F64" s="389"/>
      <c r="G64" s="389"/>
      <c r="H64" s="389"/>
      <c r="I64" s="142">
        <v>46</v>
      </c>
      <c r="J64" s="80"/>
      <c r="K64" s="80"/>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v>410</v>
      </c>
      <c r="K66" s="80"/>
      <c r="L66" s="79">
        <f t="shared" si="0"/>
        <v>0</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218676</v>
      </c>
      <c r="K73" s="272">
        <f>K74+K86+K127+K128+K139+K147+K158</f>
        <v>150887</v>
      </c>
      <c r="L73" s="78">
        <f aca="true" t="shared" si="1" ref="L73:L99">IF(J73&gt;0,IF(K73/J73&gt;=100,"&gt;&gt;100",K73/J73*100),"-")</f>
        <v>69.00025608663046</v>
      </c>
    </row>
    <row r="74" spans="2:12" ht="12.75" customHeight="1">
      <c r="B74" s="141" t="s">
        <v>19</v>
      </c>
      <c r="C74" s="384" t="s">
        <v>2120</v>
      </c>
      <c r="D74" s="384"/>
      <c r="E74" s="384"/>
      <c r="F74" s="384"/>
      <c r="G74" s="384"/>
      <c r="H74" s="385"/>
      <c r="I74" s="142">
        <v>55</v>
      </c>
      <c r="J74" s="273">
        <f>J75+J80+J81</f>
        <v>0</v>
      </c>
      <c r="K74" s="273">
        <f>K75+K80+K81</f>
        <v>0</v>
      </c>
      <c r="L74" s="79" t="str">
        <f t="shared" si="1"/>
        <v>-</v>
      </c>
    </row>
    <row r="75" spans="2:12" ht="12.75" customHeight="1">
      <c r="B75" s="141">
        <v>411</v>
      </c>
      <c r="C75" s="384" t="s">
        <v>2121</v>
      </c>
      <c r="D75" s="384"/>
      <c r="E75" s="384"/>
      <c r="F75" s="384"/>
      <c r="G75" s="384"/>
      <c r="H75" s="385"/>
      <c r="I75" s="142">
        <v>56</v>
      </c>
      <c r="J75" s="273">
        <f>SUM(J76:J79)</f>
        <v>0</v>
      </c>
      <c r="K75" s="273">
        <f>SUM(K76:K79)</f>
        <v>0</v>
      </c>
      <c r="L75" s="79" t="str">
        <f t="shared" si="1"/>
        <v>-</v>
      </c>
    </row>
    <row r="76" spans="2:12" ht="12.75">
      <c r="B76" s="141">
        <v>4111</v>
      </c>
      <c r="C76" s="378" t="s">
        <v>1400</v>
      </c>
      <c r="D76" s="378"/>
      <c r="E76" s="378"/>
      <c r="F76" s="378"/>
      <c r="G76" s="378"/>
      <c r="H76" s="378"/>
      <c r="I76" s="142">
        <v>57</v>
      </c>
      <c r="J76" s="80"/>
      <c r="K76" s="80"/>
      <c r="L76" s="79" t="str">
        <f t="shared" si="1"/>
        <v>-</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c r="L80" s="79" t="str">
        <f t="shared" si="1"/>
        <v>-</v>
      </c>
    </row>
    <row r="81" spans="2:12" ht="12.75" customHeight="1">
      <c r="B81" s="141">
        <v>413</v>
      </c>
      <c r="C81" s="384" t="s">
        <v>2122</v>
      </c>
      <c r="D81" s="384"/>
      <c r="E81" s="384"/>
      <c r="F81" s="384"/>
      <c r="G81" s="384"/>
      <c r="H81" s="385"/>
      <c r="I81" s="142">
        <v>62</v>
      </c>
      <c r="J81" s="273">
        <f>SUM(J82:J85)</f>
        <v>0</v>
      </c>
      <c r="K81" s="273">
        <f>SUM(K82:K85)</f>
        <v>0</v>
      </c>
      <c r="L81" s="79" t="str">
        <f t="shared" si="1"/>
        <v>-</v>
      </c>
    </row>
    <row r="82" spans="2:12" ht="12.75">
      <c r="B82" s="141">
        <v>4131</v>
      </c>
      <c r="C82" s="378" t="s">
        <v>1404</v>
      </c>
      <c r="D82" s="378"/>
      <c r="E82" s="378"/>
      <c r="F82" s="378"/>
      <c r="G82" s="378"/>
      <c r="H82" s="378"/>
      <c r="I82" s="142">
        <v>63</v>
      </c>
      <c r="J82" s="80"/>
      <c r="K82" s="80"/>
      <c r="L82" s="79" t="str">
        <f t="shared" si="1"/>
        <v>-</v>
      </c>
    </row>
    <row r="83" spans="2:12" ht="12.75">
      <c r="B83" s="141">
        <v>4132</v>
      </c>
      <c r="C83" s="378" t="s">
        <v>1405</v>
      </c>
      <c r="D83" s="378"/>
      <c r="E83" s="378"/>
      <c r="F83" s="378"/>
      <c r="G83" s="378"/>
      <c r="H83" s="378"/>
      <c r="I83" s="142">
        <v>64</v>
      </c>
      <c r="J83" s="80"/>
      <c r="K83" s="80"/>
      <c r="L83" s="79" t="str">
        <f t="shared" si="1"/>
        <v>-</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208364</v>
      </c>
      <c r="K86" s="273">
        <f>K87+K91+K96+K101+K106+K116+K121</f>
        <v>141092</v>
      </c>
      <c r="L86" s="79">
        <f t="shared" si="1"/>
        <v>67.71419247086828</v>
      </c>
    </row>
    <row r="87" spans="2:12" ht="12.75" customHeight="1">
      <c r="B87" s="141">
        <v>421</v>
      </c>
      <c r="C87" s="384" t="s">
        <v>2124</v>
      </c>
      <c r="D87" s="384"/>
      <c r="E87" s="384"/>
      <c r="F87" s="384"/>
      <c r="G87" s="384"/>
      <c r="H87" s="385"/>
      <c r="I87" s="142">
        <v>68</v>
      </c>
      <c r="J87" s="273">
        <f>SUM(J88:J90)</f>
        <v>0</v>
      </c>
      <c r="K87" s="273">
        <f>SUM(K88:K90)</f>
        <v>0</v>
      </c>
      <c r="L87" s="79" t="str">
        <f t="shared" si="1"/>
        <v>-</v>
      </c>
    </row>
    <row r="88" spans="2:12" ht="12.75">
      <c r="B88" s="141">
        <v>4211</v>
      </c>
      <c r="C88" s="378" t="s">
        <v>20</v>
      </c>
      <c r="D88" s="378"/>
      <c r="E88" s="378"/>
      <c r="F88" s="378"/>
      <c r="G88" s="378"/>
      <c r="H88" s="378"/>
      <c r="I88" s="142">
        <v>69</v>
      </c>
      <c r="J88" s="80"/>
      <c r="K88" s="80"/>
      <c r="L88" s="79" t="str">
        <f t="shared" si="1"/>
        <v>-</v>
      </c>
    </row>
    <row r="89" spans="2:12" ht="12.75">
      <c r="B89" s="141">
        <v>4212</v>
      </c>
      <c r="C89" s="378" t="s">
        <v>3042</v>
      </c>
      <c r="D89" s="378"/>
      <c r="E89" s="378"/>
      <c r="F89" s="378"/>
      <c r="G89" s="378"/>
      <c r="H89" s="378"/>
      <c r="I89" s="142">
        <v>70</v>
      </c>
      <c r="J89" s="80"/>
      <c r="K89" s="80"/>
      <c r="L89" s="79" t="str">
        <f t="shared" si="1"/>
        <v>-</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22998</v>
      </c>
      <c r="K91" s="273">
        <f>SUM(K92:K95)</f>
        <v>9454</v>
      </c>
      <c r="L91" s="79">
        <f t="shared" si="1"/>
        <v>41.10792242803722</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v>22998</v>
      </c>
      <c r="K93" s="80">
        <v>9454</v>
      </c>
      <c r="L93" s="79">
        <f t="shared" si="1"/>
        <v>41.10792242803722</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1008</v>
      </c>
      <c r="L101" s="79" t="str">
        <f t="shared" si="2"/>
        <v>-</v>
      </c>
    </row>
    <row r="102" spans="2:12" ht="12.75">
      <c r="B102" s="141">
        <v>4241</v>
      </c>
      <c r="C102" s="378" t="s">
        <v>2687</v>
      </c>
      <c r="D102" s="378"/>
      <c r="E102" s="378"/>
      <c r="F102" s="378"/>
      <c r="G102" s="378"/>
      <c r="H102" s="378"/>
      <c r="I102" s="142">
        <v>83</v>
      </c>
      <c r="J102" s="80"/>
      <c r="K102" s="80"/>
      <c r="L102" s="79" t="str">
        <f t="shared" si="2"/>
        <v>-</v>
      </c>
    </row>
    <row r="103" spans="2:12" ht="12.75">
      <c r="B103" s="141">
        <v>4242</v>
      </c>
      <c r="C103" s="378" t="s">
        <v>2688</v>
      </c>
      <c r="D103" s="378"/>
      <c r="E103" s="378"/>
      <c r="F103" s="378"/>
      <c r="G103" s="378"/>
      <c r="H103" s="378"/>
      <c r="I103" s="142">
        <v>84</v>
      </c>
      <c r="J103" s="80"/>
      <c r="K103" s="80">
        <v>1008</v>
      </c>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137124</v>
      </c>
      <c r="K106" s="273">
        <f>SUM(K107:K115)</f>
        <v>83099</v>
      </c>
      <c r="L106" s="79">
        <f t="shared" si="2"/>
        <v>60.601353519442256</v>
      </c>
    </row>
    <row r="107" spans="2:12" ht="12.75">
      <c r="B107" s="141">
        <v>4251</v>
      </c>
      <c r="C107" s="378" t="s">
        <v>1406</v>
      </c>
      <c r="D107" s="378"/>
      <c r="E107" s="378"/>
      <c r="F107" s="378"/>
      <c r="G107" s="378"/>
      <c r="H107" s="378"/>
      <c r="I107" s="142">
        <v>88</v>
      </c>
      <c r="J107" s="80">
        <v>12914</v>
      </c>
      <c r="K107" s="80">
        <f>10572+23+5000</f>
        <v>15595</v>
      </c>
      <c r="L107" s="79">
        <f t="shared" si="2"/>
        <v>120.76041505343038</v>
      </c>
    </row>
    <row r="108" spans="2:12" ht="12.75">
      <c r="B108" s="141">
        <v>4252</v>
      </c>
      <c r="C108" s="378" t="s">
        <v>1407</v>
      </c>
      <c r="D108" s="378"/>
      <c r="E108" s="378"/>
      <c r="F108" s="378"/>
      <c r="G108" s="378"/>
      <c r="H108" s="378"/>
      <c r="I108" s="142">
        <v>89</v>
      </c>
      <c r="J108" s="80">
        <v>2481</v>
      </c>
      <c r="K108" s="80">
        <v>823</v>
      </c>
      <c r="L108" s="79">
        <f t="shared" si="2"/>
        <v>33.17210802095929</v>
      </c>
    </row>
    <row r="109" spans="2:12" ht="12.75">
      <c r="B109" s="141">
        <v>4253</v>
      </c>
      <c r="C109" s="378" t="s">
        <v>1408</v>
      </c>
      <c r="D109" s="378"/>
      <c r="E109" s="378"/>
      <c r="F109" s="378"/>
      <c r="G109" s="378"/>
      <c r="H109" s="378"/>
      <c r="I109" s="142">
        <v>90</v>
      </c>
      <c r="J109" s="80"/>
      <c r="K109" s="80"/>
      <c r="L109" s="79" t="str">
        <f t="shared" si="2"/>
        <v>-</v>
      </c>
    </row>
    <row r="110" spans="2:12" ht="12.75">
      <c r="B110" s="141">
        <v>4254</v>
      </c>
      <c r="C110" s="378" t="s">
        <v>1409</v>
      </c>
      <c r="D110" s="378"/>
      <c r="E110" s="378"/>
      <c r="F110" s="378"/>
      <c r="G110" s="378"/>
      <c r="H110" s="378"/>
      <c r="I110" s="142">
        <v>91</v>
      </c>
      <c r="J110" s="80">
        <v>9937</v>
      </c>
      <c r="K110" s="80">
        <f>10357+87+1247</f>
        <v>11691</v>
      </c>
      <c r="L110" s="79">
        <f t="shared" si="2"/>
        <v>117.65120257623025</v>
      </c>
    </row>
    <row r="111" spans="2:12" ht="12.75">
      <c r="B111" s="141">
        <v>4255</v>
      </c>
      <c r="C111" s="378" t="s">
        <v>1410</v>
      </c>
      <c r="D111" s="378"/>
      <c r="E111" s="378"/>
      <c r="F111" s="378"/>
      <c r="G111" s="378"/>
      <c r="H111" s="378"/>
      <c r="I111" s="142">
        <v>92</v>
      </c>
      <c r="J111" s="80">
        <v>46858</v>
      </c>
      <c r="K111" s="80">
        <f>4871+328+12763</f>
        <v>17962</v>
      </c>
      <c r="L111" s="79">
        <f t="shared" si="2"/>
        <v>38.332835374962656</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13006</v>
      </c>
      <c r="K113" s="80">
        <f>12750+296+6358</f>
        <v>19404</v>
      </c>
      <c r="L113" s="79">
        <f t="shared" si="2"/>
        <v>149.19268030139935</v>
      </c>
    </row>
    <row r="114" spans="2:12" ht="12.75">
      <c r="B114" s="141">
        <v>4258</v>
      </c>
      <c r="C114" s="378" t="s">
        <v>2534</v>
      </c>
      <c r="D114" s="378"/>
      <c r="E114" s="378"/>
      <c r="F114" s="378"/>
      <c r="G114" s="378"/>
      <c r="H114" s="378"/>
      <c r="I114" s="142">
        <v>95</v>
      </c>
      <c r="J114" s="80"/>
      <c r="K114" s="80"/>
      <c r="L114" s="79" t="str">
        <f t="shared" si="2"/>
        <v>-</v>
      </c>
    </row>
    <row r="115" spans="2:12" ht="12.75">
      <c r="B115" s="141">
        <v>4259</v>
      </c>
      <c r="C115" s="378" t="s">
        <v>2535</v>
      </c>
      <c r="D115" s="378"/>
      <c r="E115" s="378"/>
      <c r="F115" s="378"/>
      <c r="G115" s="378"/>
      <c r="H115" s="378"/>
      <c r="I115" s="142">
        <v>96</v>
      </c>
      <c r="J115" s="80">
        <v>51928</v>
      </c>
      <c r="K115" s="80">
        <f>960+16664</f>
        <v>17624</v>
      </c>
      <c r="L115" s="79">
        <f t="shared" si="2"/>
        <v>33.93930057002002</v>
      </c>
    </row>
    <row r="116" spans="2:12" ht="12.75" customHeight="1">
      <c r="B116" s="141">
        <v>426</v>
      </c>
      <c r="C116" s="378" t="s">
        <v>2129</v>
      </c>
      <c r="D116" s="378"/>
      <c r="E116" s="378"/>
      <c r="F116" s="378"/>
      <c r="G116" s="378"/>
      <c r="H116" s="378"/>
      <c r="I116" s="142">
        <v>97</v>
      </c>
      <c r="J116" s="273">
        <f>SUM(J117:J120)</f>
        <v>37727</v>
      </c>
      <c r="K116" s="273">
        <f>SUM(K117:K120)</f>
        <v>33234</v>
      </c>
      <c r="L116" s="79">
        <f t="shared" si="2"/>
        <v>88.09075728258277</v>
      </c>
    </row>
    <row r="117" spans="2:12" ht="12.75">
      <c r="B117" s="141">
        <v>4261</v>
      </c>
      <c r="C117" s="378" t="s">
        <v>3043</v>
      </c>
      <c r="D117" s="378"/>
      <c r="E117" s="378"/>
      <c r="F117" s="378"/>
      <c r="G117" s="378"/>
      <c r="H117" s="378"/>
      <c r="I117" s="142">
        <v>98</v>
      </c>
      <c r="J117" s="80">
        <v>1586</v>
      </c>
      <c r="K117" s="80">
        <f>242+190+270</f>
        <v>702</v>
      </c>
      <c r="L117" s="79">
        <f t="shared" si="2"/>
        <v>44.26229508196721</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v>35419</v>
      </c>
      <c r="K119" s="80">
        <f>11356+252+18857+1888</f>
        <v>32353</v>
      </c>
      <c r="L119" s="79">
        <f t="shared" si="2"/>
        <v>91.34362912561055</v>
      </c>
    </row>
    <row r="120" spans="2:12" ht="12.75">
      <c r="B120" s="141">
        <v>4264</v>
      </c>
      <c r="C120" s="378" t="s">
        <v>2693</v>
      </c>
      <c r="D120" s="378"/>
      <c r="E120" s="378"/>
      <c r="F120" s="378"/>
      <c r="G120" s="378"/>
      <c r="H120" s="378"/>
      <c r="I120" s="142">
        <v>101</v>
      </c>
      <c r="J120" s="80">
        <v>722</v>
      </c>
      <c r="K120" s="80">
        <v>179</v>
      </c>
      <c r="L120" s="79">
        <f t="shared" si="2"/>
        <v>24.792243767313018</v>
      </c>
    </row>
    <row r="121" spans="2:12" ht="12.75" customHeight="1">
      <c r="B121" s="141">
        <v>429</v>
      </c>
      <c r="C121" s="378" t="s">
        <v>2130</v>
      </c>
      <c r="D121" s="378"/>
      <c r="E121" s="378"/>
      <c r="F121" s="378"/>
      <c r="G121" s="378"/>
      <c r="H121" s="378"/>
      <c r="I121" s="142">
        <v>102</v>
      </c>
      <c r="J121" s="273">
        <f>SUM(J122:J126)</f>
        <v>10515</v>
      </c>
      <c r="K121" s="273">
        <f>SUM(K122:K126)</f>
        <v>14297</v>
      </c>
      <c r="L121" s="79">
        <f t="shared" si="2"/>
        <v>135.96766524013316</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10315</v>
      </c>
      <c r="K123" s="80">
        <v>13446</v>
      </c>
      <c r="L123" s="79">
        <f>IF(J123&gt;0,IF(K123/J123&gt;=100,"&gt;&gt;100",K123/J123*100),"-")</f>
        <v>130.35385361124577</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200</v>
      </c>
      <c r="K126" s="80">
        <v>851</v>
      </c>
      <c r="L126" s="79">
        <f t="shared" si="2"/>
        <v>425.5</v>
      </c>
    </row>
    <row r="127" spans="2:12" ht="12.75">
      <c r="B127" s="141">
        <v>43</v>
      </c>
      <c r="C127" s="378" t="s">
        <v>2696</v>
      </c>
      <c r="D127" s="378"/>
      <c r="E127" s="378"/>
      <c r="F127" s="378"/>
      <c r="G127" s="378"/>
      <c r="H127" s="378"/>
      <c r="I127" s="142">
        <v>108</v>
      </c>
      <c r="J127" s="80">
        <v>2881</v>
      </c>
      <c r="K127" s="80">
        <v>2881</v>
      </c>
      <c r="L127" s="79">
        <f>IF(J127&gt;0,IF(K127/J127&gt;=100,"&gt;&gt;100",K127/J127*100),"-")</f>
        <v>100</v>
      </c>
    </row>
    <row r="128" spans="2:12" ht="12.75" customHeight="1">
      <c r="B128" s="141">
        <v>44</v>
      </c>
      <c r="C128" s="378" t="s">
        <v>2131</v>
      </c>
      <c r="D128" s="378"/>
      <c r="E128" s="378"/>
      <c r="F128" s="378"/>
      <c r="G128" s="378"/>
      <c r="H128" s="378"/>
      <c r="I128" s="142">
        <v>109</v>
      </c>
      <c r="J128" s="273">
        <f>J129+J130+J134</f>
        <v>2431</v>
      </c>
      <c r="K128" s="273">
        <f>K129+K130+K134</f>
        <v>6914</v>
      </c>
      <c r="L128" s="79">
        <f t="shared" si="2"/>
        <v>284.4097079391197</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2431</v>
      </c>
      <c r="K134" s="273">
        <f>SUM(K135:K138)</f>
        <v>6914</v>
      </c>
      <c r="L134" s="79">
        <f t="shared" si="2"/>
        <v>284.4097079391197</v>
      </c>
    </row>
    <row r="135" spans="2:12" ht="12.75">
      <c r="B135" s="141">
        <v>4431</v>
      </c>
      <c r="C135" s="378" t="s">
        <v>2736</v>
      </c>
      <c r="D135" s="378"/>
      <c r="E135" s="378"/>
      <c r="F135" s="378"/>
      <c r="G135" s="378"/>
      <c r="H135" s="378"/>
      <c r="I135" s="142">
        <v>116</v>
      </c>
      <c r="J135" s="80">
        <v>2421</v>
      </c>
      <c r="K135" s="80">
        <v>3119</v>
      </c>
      <c r="L135" s="79">
        <f t="shared" si="2"/>
        <v>128.83106154481618</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v>10</v>
      </c>
      <c r="K137" s="80">
        <v>485</v>
      </c>
      <c r="L137" s="79">
        <f t="shared" si="2"/>
        <v>4850</v>
      </c>
    </row>
    <row r="138" spans="2:12" ht="12.75">
      <c r="B138" s="141">
        <v>4434</v>
      </c>
      <c r="C138" s="378" t="s">
        <v>1325</v>
      </c>
      <c r="D138" s="378"/>
      <c r="E138" s="378"/>
      <c r="F138" s="378"/>
      <c r="G138" s="378"/>
      <c r="H138" s="378"/>
      <c r="I138" s="142">
        <v>119</v>
      </c>
      <c r="J138" s="80"/>
      <c r="K138" s="80">
        <v>3310</v>
      </c>
      <c r="L138" s="79" t="str">
        <f t="shared" si="2"/>
        <v>-</v>
      </c>
    </row>
    <row r="139" spans="2:12" ht="12.75" customHeight="1">
      <c r="B139" s="141">
        <v>45</v>
      </c>
      <c r="C139" s="378" t="s">
        <v>2134</v>
      </c>
      <c r="D139" s="378"/>
      <c r="E139" s="378"/>
      <c r="F139" s="378"/>
      <c r="G139" s="378"/>
      <c r="H139" s="378"/>
      <c r="I139" s="142">
        <v>120</v>
      </c>
      <c r="J139" s="273">
        <f>J140+J144</f>
        <v>5000</v>
      </c>
      <c r="K139" s="273">
        <f>K140+K144</f>
        <v>0</v>
      </c>
      <c r="L139" s="79">
        <f t="shared" si="2"/>
        <v>0</v>
      </c>
    </row>
    <row r="140" spans="2:12" ht="12.75" customHeight="1">
      <c r="B140" s="141">
        <v>451</v>
      </c>
      <c r="C140" s="378" t="s">
        <v>2135</v>
      </c>
      <c r="D140" s="378"/>
      <c r="E140" s="378"/>
      <c r="F140" s="378"/>
      <c r="G140" s="378"/>
      <c r="H140" s="378"/>
      <c r="I140" s="142">
        <v>121</v>
      </c>
      <c r="J140" s="273">
        <f>SUM(J141:J143)</f>
        <v>5000</v>
      </c>
      <c r="K140" s="273">
        <f>SUM(K141:K143)</f>
        <v>0</v>
      </c>
      <c r="L140" s="79">
        <f t="shared" si="2"/>
        <v>0</v>
      </c>
    </row>
    <row r="141" spans="2:12" ht="12.75">
      <c r="B141" s="141">
        <v>4511</v>
      </c>
      <c r="C141" s="378" t="s">
        <v>1326</v>
      </c>
      <c r="D141" s="378"/>
      <c r="E141" s="378"/>
      <c r="F141" s="378"/>
      <c r="G141" s="378"/>
      <c r="H141" s="378"/>
      <c r="I141" s="142">
        <v>122</v>
      </c>
      <c r="J141" s="80">
        <v>5000</v>
      </c>
      <c r="K141" s="80"/>
      <c r="L141" s="79">
        <f t="shared" si="2"/>
        <v>0</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218676</v>
      </c>
      <c r="K167" s="273">
        <f>K73-K165+K166</f>
        <v>150887</v>
      </c>
      <c r="L167" s="79">
        <f t="shared" si="2"/>
        <v>69.00025608663046</v>
      </c>
    </row>
    <row r="168" spans="2:12" ht="12.75" customHeight="1">
      <c r="B168" s="141"/>
      <c r="C168" s="378" t="s">
        <v>1467</v>
      </c>
      <c r="D168" s="378"/>
      <c r="E168" s="378"/>
      <c r="F168" s="378"/>
      <c r="G168" s="378"/>
      <c r="H168" s="378"/>
      <c r="I168" s="142">
        <v>149</v>
      </c>
      <c r="J168" s="273">
        <f>IF(J19&gt;=J167,J19-J167,0)</f>
        <v>0</v>
      </c>
      <c r="K168" s="273">
        <f>IF(K19&gt;=K167,K19-K167,0)</f>
        <v>38427</v>
      </c>
      <c r="L168" s="79" t="str">
        <f t="shared" si="2"/>
        <v>-</v>
      </c>
    </row>
    <row r="169" spans="2:12" ht="12.75" customHeight="1">
      <c r="B169" s="141"/>
      <c r="C169" s="378" t="s">
        <v>1468</v>
      </c>
      <c r="D169" s="378"/>
      <c r="E169" s="378"/>
      <c r="F169" s="378"/>
      <c r="G169" s="378"/>
      <c r="H169" s="378"/>
      <c r="I169" s="142">
        <v>150</v>
      </c>
      <c r="J169" s="273">
        <f>IF(J167&gt;=J19,J167-J19,0)</f>
        <v>21204</v>
      </c>
      <c r="K169" s="273">
        <f>IF(K167&gt;=K19,K167-K19,0)</f>
        <v>0</v>
      </c>
      <c r="L169" s="79">
        <f t="shared" si="2"/>
        <v>0</v>
      </c>
    </row>
    <row r="170" spans="2:12" ht="12.75">
      <c r="B170" s="141">
        <v>5221</v>
      </c>
      <c r="C170" s="378" t="s">
        <v>1333</v>
      </c>
      <c r="D170" s="378"/>
      <c r="E170" s="378"/>
      <c r="F170" s="378"/>
      <c r="G170" s="378"/>
      <c r="H170" s="378"/>
      <c r="I170" s="142">
        <v>151</v>
      </c>
      <c r="J170" s="80">
        <v>56241</v>
      </c>
      <c r="K170" s="80">
        <v>35034</v>
      </c>
      <c r="L170" s="79">
        <f t="shared" si="2"/>
        <v>62.29263348802475</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35037</v>
      </c>
      <c r="K173" s="273">
        <f>IF(K168+K170-K169-K171-K172&gt;=0,K168+K170-K169-K171-K172,0)</f>
        <v>73461</v>
      </c>
      <c r="L173" s="79">
        <f t="shared" si="2"/>
        <v>209.66692353797413</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22112</v>
      </c>
      <c r="K176" s="83">
        <f>3496+1685+2585+624</f>
        <v>8390</v>
      </c>
      <c r="L176" s="78">
        <f aca="true" t="shared" si="3" ref="L176:L181">IF(J176&gt;0,IF(K176/J176&gt;=100,"&gt;&gt;100",K176/J176*100),"-")</f>
        <v>37.9431982633864</v>
      </c>
    </row>
    <row r="177" spans="2:12" ht="12.75">
      <c r="B177" s="145" t="s">
        <v>1335</v>
      </c>
      <c r="C177" s="378" t="s">
        <v>1004</v>
      </c>
      <c r="D177" s="378"/>
      <c r="E177" s="378"/>
      <c r="F177" s="378"/>
      <c r="G177" s="378"/>
      <c r="H177" s="378"/>
      <c r="I177" s="142">
        <v>157</v>
      </c>
      <c r="J177" s="80">
        <v>214014</v>
      </c>
      <c r="K177" s="80">
        <f>164758+19350+4</f>
        <v>184112</v>
      </c>
      <c r="L177" s="79">
        <f t="shared" si="3"/>
        <v>86.02801685871017</v>
      </c>
    </row>
    <row r="178" spans="2:12" ht="12.75">
      <c r="B178" s="145" t="s">
        <v>3054</v>
      </c>
      <c r="C178" s="378" t="s">
        <v>3055</v>
      </c>
      <c r="D178" s="378"/>
      <c r="E178" s="378"/>
      <c r="F178" s="378"/>
      <c r="G178" s="378"/>
      <c r="H178" s="378"/>
      <c r="I178" s="142">
        <v>158</v>
      </c>
      <c r="J178" s="80">
        <v>227736</v>
      </c>
      <c r="K178" s="80">
        <f>166117+20658+627</f>
        <v>187402</v>
      </c>
      <c r="L178" s="79">
        <f t="shared" si="3"/>
        <v>82.28914181332772</v>
      </c>
    </row>
    <row r="179" spans="2:12" ht="12.75" customHeight="1">
      <c r="B179" s="141">
        <v>11</v>
      </c>
      <c r="C179" s="384" t="s">
        <v>1471</v>
      </c>
      <c r="D179" s="384"/>
      <c r="E179" s="384"/>
      <c r="F179" s="384"/>
      <c r="G179" s="384"/>
      <c r="H179" s="385"/>
      <c r="I179" s="142">
        <v>159</v>
      </c>
      <c r="J179" s="273">
        <f>J176+J177-J178</f>
        <v>8390</v>
      </c>
      <c r="K179" s="273">
        <f>K176+K177-K178</f>
        <v>5100</v>
      </c>
      <c r="L179" s="79">
        <f t="shared" si="3"/>
        <v>60.78665077473182</v>
      </c>
    </row>
    <row r="180" spans="2:12" ht="12.75">
      <c r="B180" s="141"/>
      <c r="C180" s="378" t="s">
        <v>203</v>
      </c>
      <c r="D180" s="378"/>
      <c r="E180" s="378"/>
      <c r="F180" s="378"/>
      <c r="G180" s="378"/>
      <c r="H180" s="378"/>
      <c r="I180" s="142">
        <v>160</v>
      </c>
      <c r="J180" s="80"/>
      <c r="K180" s="80"/>
      <c r="L180" s="79" t="str">
        <f t="shared" si="3"/>
        <v>-</v>
      </c>
    </row>
    <row r="181" spans="2:12" ht="12.75">
      <c r="B181" s="141"/>
      <c r="C181" s="378" t="s">
        <v>204</v>
      </c>
      <c r="D181" s="378"/>
      <c r="E181" s="378"/>
      <c r="F181" s="378"/>
      <c r="G181" s="378"/>
      <c r="H181" s="378"/>
      <c r="I181" s="142">
        <v>161</v>
      </c>
      <c r="J181" s="80"/>
      <c r="K181" s="80"/>
      <c r="L181" s="79" t="str">
        <f t="shared" si="3"/>
        <v>-</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0.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0">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0</v>
      </c>
      <c r="K194" s="274">
        <f>SUM(K180:K183,K186:K191,K193)</f>
        <v>0</v>
      </c>
      <c r="L194" s="82" t="str">
        <f t="shared" si="4"/>
        <v>-</v>
      </c>
    </row>
    <row r="195" s="118" customFormat="1" ht="13.5"/>
    <row r="196" spans="2:12" s="118" customFormat="1" ht="13.5">
      <c r="B196" s="425"/>
      <c r="C196" s="425"/>
      <c r="D196" s="425"/>
      <c r="E196" s="426"/>
      <c r="F196" s="426"/>
      <c r="G196" s="426"/>
      <c r="H196" s="426"/>
      <c r="I196" s="119"/>
      <c r="J196" s="427" t="s">
        <v>1556</v>
      </c>
      <c r="K196" s="427"/>
      <c r="L196" s="427"/>
    </row>
    <row r="197" spans="2:12" s="118" customFormat="1" ht="13.5">
      <c r="B197" s="105"/>
      <c r="C197" s="105"/>
      <c r="D197" s="105"/>
      <c r="E197" s="104"/>
      <c r="F197" s="104"/>
      <c r="G197" s="104"/>
      <c r="H197" s="104"/>
      <c r="I197" s="104"/>
      <c r="J197" s="104"/>
      <c r="K197" s="106"/>
      <c r="L197" s="104"/>
    </row>
    <row r="198" spans="2:12" s="118" customFormat="1" ht="14.25" thickBot="1">
      <c r="B198" s="171" t="s">
        <v>2869</v>
      </c>
      <c r="C198" s="171"/>
      <c r="D198" s="447" t="str">
        <f>IF(RefStr!N4=1,IF(RefStr!D39&lt;&gt;"",RefStr!D39,""),"")</f>
        <v>MIRSAD SREBRENIKOVIĆ</v>
      </c>
      <c r="E198" s="447"/>
      <c r="F198" s="447"/>
      <c r="G198" s="447"/>
      <c r="H198" s="447"/>
      <c r="I198" s="173"/>
      <c r="J198" s="415"/>
      <c r="K198" s="415"/>
      <c r="L198" s="415"/>
    </row>
    <row r="199" spans="2:12" s="118" customFormat="1" ht="14.25" thickBot="1">
      <c r="B199" s="386" t="s">
        <v>2870</v>
      </c>
      <c r="C199" s="386"/>
      <c r="D199" s="223">
        <f>IF(RefStr!N4=1,IF(RefStr!D41&lt;&gt;"",RefStr!D41,""),"")</f>
        <v>43514</v>
      </c>
      <c r="E199" s="176"/>
      <c r="F199" s="176"/>
      <c r="G199" s="176"/>
      <c r="H199" s="177"/>
      <c r="I199" s="178"/>
      <c r="J199" s="178"/>
      <c r="K199" s="179"/>
      <c r="L199" s="178"/>
    </row>
    <row r="200" spans="2:12" s="118" customFormat="1" ht="14.25" thickBot="1">
      <c r="B200" s="398" t="s">
        <v>1649</v>
      </c>
      <c r="C200" s="398"/>
      <c r="D200" s="172" t="str">
        <f>IF(RefStr!N4=1,IF(RefStr!D43&lt;&gt;"",RefStr!D43,""),"")</f>
        <v>MELIKA TESKEREDŽIĆ</v>
      </c>
      <c r="E200" s="172"/>
      <c r="F200" s="172"/>
      <c r="G200" s="172"/>
      <c r="H200" s="171"/>
      <c r="I200" s="171"/>
      <c r="J200" s="171"/>
      <c r="K200" s="171"/>
      <c r="L200" s="171"/>
    </row>
    <row r="201" spans="2:12" s="118" customFormat="1" ht="14.25" thickBot="1">
      <c r="B201" s="386" t="s">
        <v>1650</v>
      </c>
      <c r="C201" s="386"/>
      <c r="D201" s="445" t="str">
        <f>IF(RefStr!N4=1,IF(RefStr!D45&lt;&gt;"",RefStr!D45,""),"")</f>
        <v>0912121140</v>
      </c>
      <c r="E201" s="445"/>
      <c r="F201" s="171"/>
      <c r="G201" s="180"/>
      <c r="H201" s="180"/>
      <c r="I201" s="180"/>
      <c r="J201" s="180"/>
      <c r="K201" s="180"/>
      <c r="L201" s="180"/>
    </row>
    <row r="202" spans="2:12" s="118" customFormat="1" ht="14.25" thickBot="1">
      <c r="B202" s="386" t="s">
        <v>41</v>
      </c>
      <c r="C202" s="386"/>
      <c r="D202" s="446">
        <f>IF(RefStr!N4=1,IF(RefStr!D47&lt;&gt;"",RefStr!D47,""),"")</f>
      </c>
      <c r="E202" s="446"/>
      <c r="F202" s="181"/>
      <c r="G202" s="181"/>
      <c r="H202" s="181"/>
      <c r="I202" s="181"/>
      <c r="J202" s="181"/>
      <c r="K202" s="180"/>
      <c r="L202" s="180"/>
    </row>
    <row r="203" spans="2:12" s="118" customFormat="1" ht="14.25" thickBot="1">
      <c r="B203" s="386" t="s">
        <v>1651</v>
      </c>
      <c r="C203" s="386"/>
      <c r="D203" s="431">
        <f>IF(RefStr!N4=1,IF(RefStr!D49&lt;&gt;"",RefStr!D49,""),"")</f>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87:H87"/>
    <mergeCell ref="C88:H88"/>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3" activePane="bottomLeft" state="frozen"/>
      <selection pane="topLeft" activeCell="A1" sqref="A1"/>
      <selection pane="bottomLeft" activeCell="K207" sqref="K20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SRANKA DEMOKRATSKE AKCIJE HRVATSKE - SDAH</v>
      </c>
      <c r="E7" s="444"/>
      <c r="F7" s="444"/>
      <c r="G7" s="444"/>
      <c r="H7" s="444"/>
      <c r="I7" s="444"/>
      <c r="J7" s="444"/>
      <c r="K7" s="444"/>
      <c r="L7" s="444"/>
      <c r="P7" s="27" t="s">
        <v>1611</v>
      </c>
    </row>
    <row r="8" spans="2:12" ht="18" customHeight="1" thickBot="1">
      <c r="B8" s="416" t="s">
        <v>2026</v>
      </c>
      <c r="C8" s="416"/>
      <c r="D8" s="231">
        <f>IF(RefStr!O4=1,IF(RefStr!C9&lt;&gt;"",RefStr!C9,""),"")</f>
        <v>10000</v>
      </c>
      <c r="E8" s="121"/>
      <c r="F8" s="128" t="s">
        <v>2029</v>
      </c>
      <c r="G8" s="423" t="str">
        <f>IF(RefStr!O4=1,IF(RefStr!E9&lt;&gt;"",RefStr!E9,""),"")</f>
        <v>ZAGREB</v>
      </c>
      <c r="H8" s="424"/>
      <c r="I8" s="424"/>
      <c r="J8" s="424"/>
      <c r="K8" s="424"/>
      <c r="L8" s="424"/>
    </row>
    <row r="9" spans="2:12" ht="18" customHeight="1" thickBot="1">
      <c r="B9" s="416" t="s">
        <v>12</v>
      </c>
      <c r="C9" s="416"/>
      <c r="D9" s="423" t="str">
        <f>IF(RefStr!O4=1,IF(RefStr!C11&lt;&gt;"",RefStr!C11,""),"")</f>
        <v>MANDALIČINA 17</v>
      </c>
      <c r="E9" s="423"/>
      <c r="F9" s="423"/>
      <c r="G9" s="423"/>
      <c r="H9" s="423"/>
      <c r="I9" s="423"/>
      <c r="J9" s="423"/>
      <c r="K9" s="423"/>
      <c r="L9" s="423"/>
    </row>
    <row r="10" spans="2:12" ht="18" customHeight="1" thickBot="1">
      <c r="B10" s="416" t="s">
        <v>2727</v>
      </c>
      <c r="C10" s="416" t="s">
        <v>2856</v>
      </c>
      <c r="D10" s="428" t="str">
        <f>IF(RefStr!O4=1,IF(RefStr!C13&lt;&gt;"",RefStr!C13,""),"")</f>
        <v>HR9024070001100117725</v>
      </c>
      <c r="E10" s="429"/>
      <c r="F10" s="429"/>
      <c r="G10" s="122"/>
      <c r="H10" s="122"/>
      <c r="I10" s="136"/>
      <c r="J10" s="128" t="s">
        <v>791</v>
      </c>
      <c r="K10" s="227">
        <f>IF(RefStr!O4=1,IF(RefStr!J9&lt;&gt;"",RefStr!J9,""),"")</f>
        <v>145110</v>
      </c>
      <c r="L10" s="136"/>
    </row>
    <row r="11" spans="2:12" ht="18" customHeight="1" thickBot="1">
      <c r="B11" s="396" t="s">
        <v>14</v>
      </c>
      <c r="C11" s="397"/>
      <c r="D11" s="120" t="str">
        <f>IF(RefStr!O4=1,IF(RefStr!C15&lt;&gt;"",RefStr!C15,""),"")</f>
        <v>9492</v>
      </c>
      <c r="E11" s="232" t="str">
        <f>IF(RefStr!D15&lt;&gt;"",RefStr!D15,"")</f>
        <v>Djelatnosti političkih organizacija</v>
      </c>
      <c r="F11" s="123"/>
      <c r="G11" s="136"/>
      <c r="H11" s="136"/>
      <c r="I11" s="137"/>
      <c r="J11" s="208" t="s">
        <v>1530</v>
      </c>
      <c r="K11" s="226" t="str">
        <f>IF(RefStr!O4=1,IF(RefStr!J11&lt;&gt;"",RefStr!J11,""),"")</f>
        <v>03545563</v>
      </c>
      <c r="L11" s="136"/>
    </row>
    <row r="12" spans="2:12" ht="18" customHeight="1" thickBot="1">
      <c r="B12" s="416" t="s">
        <v>2858</v>
      </c>
      <c r="C12" s="397"/>
      <c r="D12" s="124">
        <f>IF(RefStr!O4=1,IF(RefStr!C17&lt;&gt;"",RefStr!C17,""),"")</f>
        <v>133</v>
      </c>
      <c r="E12" s="233" t="str">
        <f>IF(RefStr!D17&lt;&gt;"",RefStr!D17,"")</f>
        <v>Grad/općina: GRAD ZAGREB</v>
      </c>
      <c r="F12" s="125"/>
      <c r="G12" s="122"/>
      <c r="H12" s="122"/>
      <c r="I12" s="126"/>
      <c r="J12" s="208" t="s">
        <v>792</v>
      </c>
      <c r="K12" s="417">
        <f>IF(RefStr!O4=1,IF(RefStr!J13&lt;&gt;"",RefStr!J13,""),"")</f>
        <v>19621827951</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3.5">
      <c r="B19" s="146"/>
      <c r="C19" s="461" t="s">
        <v>2861</v>
      </c>
      <c r="D19" s="462"/>
      <c r="E19" s="462"/>
      <c r="F19" s="462"/>
      <c r="G19" s="462"/>
      <c r="H19" s="462"/>
      <c r="I19" s="147">
        <v>1</v>
      </c>
      <c r="J19" s="148">
        <f>J20+J92</f>
        <v>108241</v>
      </c>
      <c r="K19" s="148">
        <f>K20+K92</f>
        <v>129323</v>
      </c>
      <c r="L19" s="134">
        <f aca="true" t="shared" si="0" ref="L19:L50">IF(J19&gt;0,IF(K19/J19&gt;=100,"&gt;&gt;100",K19/J19*100),"-")</f>
        <v>119.47690801082769</v>
      </c>
    </row>
    <row r="20" spans="2:12" ht="13.5">
      <c r="B20" s="149">
        <v>0</v>
      </c>
      <c r="C20" s="459" t="s">
        <v>1951</v>
      </c>
      <c r="D20" s="460"/>
      <c r="E20" s="460"/>
      <c r="F20" s="460"/>
      <c r="G20" s="460"/>
      <c r="H20" s="460"/>
      <c r="I20" s="150">
        <v>2</v>
      </c>
      <c r="J20" s="151">
        <f>J21+J36+J65+J69+J73+J82</f>
        <v>9453</v>
      </c>
      <c r="K20" s="151">
        <f>K21+K36+K65+K69+K73+K82</f>
        <v>6569</v>
      </c>
      <c r="L20" s="152">
        <f t="shared" si="0"/>
        <v>69.49116682534645</v>
      </c>
    </row>
    <row r="21" spans="2:12" ht="13.5">
      <c r="B21" s="149" t="s">
        <v>1952</v>
      </c>
      <c r="C21" s="459" t="s">
        <v>2882</v>
      </c>
      <c r="D21" s="460"/>
      <c r="E21" s="460"/>
      <c r="F21" s="460"/>
      <c r="G21" s="460"/>
      <c r="H21" s="460"/>
      <c r="I21" s="150">
        <v>3</v>
      </c>
      <c r="J21" s="151">
        <f>J22+J26-J35</f>
        <v>0</v>
      </c>
      <c r="K21" s="151">
        <f>K22+K26-K35</f>
        <v>0</v>
      </c>
      <c r="L21" s="152" t="str">
        <f t="shared" si="0"/>
        <v>-</v>
      </c>
    </row>
    <row r="22" spans="2:12" ht="13.5">
      <c r="B22" s="153" t="s">
        <v>2883</v>
      </c>
      <c r="C22" s="457" t="s">
        <v>2884</v>
      </c>
      <c r="D22" s="458"/>
      <c r="E22" s="458"/>
      <c r="F22" s="458"/>
      <c r="G22" s="458"/>
      <c r="H22" s="458"/>
      <c r="I22" s="150">
        <v>4</v>
      </c>
      <c r="J22" s="151">
        <f>SUM(J23:J25)</f>
        <v>0</v>
      </c>
      <c r="K22" s="151">
        <f>SUM(K23:K25)</f>
        <v>0</v>
      </c>
      <c r="L22" s="152" t="str">
        <f t="shared" si="0"/>
        <v>-</v>
      </c>
    </row>
    <row r="23" spans="2:12" ht="13.5">
      <c r="B23" s="153" t="s">
        <v>1336</v>
      </c>
      <c r="C23" s="457" t="s">
        <v>2885</v>
      </c>
      <c r="D23" s="458"/>
      <c r="E23" s="458"/>
      <c r="F23" s="458"/>
      <c r="G23" s="458"/>
      <c r="H23" s="458"/>
      <c r="I23" s="150">
        <v>5</v>
      </c>
      <c r="J23" s="154"/>
      <c r="K23" s="155"/>
      <c r="L23" s="152" t="str">
        <f t="shared" si="0"/>
        <v>-</v>
      </c>
    </row>
    <row r="24" spans="2:12" ht="13.5">
      <c r="B24" s="153" t="s">
        <v>2097</v>
      </c>
      <c r="C24" s="457" t="s">
        <v>2886</v>
      </c>
      <c r="D24" s="458"/>
      <c r="E24" s="458"/>
      <c r="F24" s="458"/>
      <c r="G24" s="458"/>
      <c r="H24" s="458"/>
      <c r="I24" s="150">
        <v>6</v>
      </c>
      <c r="J24" s="154"/>
      <c r="K24" s="155"/>
      <c r="L24" s="152" t="str">
        <f t="shared" si="0"/>
        <v>-</v>
      </c>
    </row>
    <row r="25" spans="2:12" ht="13.5">
      <c r="B25" s="153" t="s">
        <v>2099</v>
      </c>
      <c r="C25" s="457" t="s">
        <v>2887</v>
      </c>
      <c r="D25" s="458"/>
      <c r="E25" s="458"/>
      <c r="F25" s="458"/>
      <c r="G25" s="458"/>
      <c r="H25" s="458"/>
      <c r="I25" s="150">
        <v>7</v>
      </c>
      <c r="J25" s="154"/>
      <c r="K25" s="155"/>
      <c r="L25" s="152" t="str">
        <f t="shared" si="0"/>
        <v>-</v>
      </c>
    </row>
    <row r="26" spans="2:12" ht="13.5">
      <c r="B26" s="153" t="s">
        <v>2888</v>
      </c>
      <c r="C26" s="457" t="s">
        <v>2889</v>
      </c>
      <c r="D26" s="458"/>
      <c r="E26" s="458"/>
      <c r="F26" s="458"/>
      <c r="G26" s="458"/>
      <c r="H26" s="458"/>
      <c r="I26" s="150">
        <v>8</v>
      </c>
      <c r="J26" s="151">
        <f>SUM(J27:J34)</f>
        <v>0</v>
      </c>
      <c r="K26" s="151">
        <f>SUM(K27:K34)</f>
        <v>0</v>
      </c>
      <c r="L26" s="152" t="str">
        <f t="shared" si="0"/>
        <v>-</v>
      </c>
    </row>
    <row r="27" spans="2:12" ht="13.5">
      <c r="B27" s="153" t="s">
        <v>2547</v>
      </c>
      <c r="C27" s="457" t="s">
        <v>2890</v>
      </c>
      <c r="D27" s="458"/>
      <c r="E27" s="458"/>
      <c r="F27" s="458"/>
      <c r="G27" s="458"/>
      <c r="H27" s="458"/>
      <c r="I27" s="150">
        <v>9</v>
      </c>
      <c r="J27" s="154"/>
      <c r="K27" s="155"/>
      <c r="L27" s="152" t="str">
        <f t="shared" si="0"/>
        <v>-</v>
      </c>
    </row>
    <row r="28" spans="2:12" ht="13.5">
      <c r="B28" s="153" t="s">
        <v>2549</v>
      </c>
      <c r="C28" s="457" t="s">
        <v>2891</v>
      </c>
      <c r="D28" s="458"/>
      <c r="E28" s="458"/>
      <c r="F28" s="458"/>
      <c r="G28" s="458"/>
      <c r="H28" s="458"/>
      <c r="I28" s="150">
        <v>10</v>
      </c>
      <c r="J28" s="154"/>
      <c r="K28" s="155"/>
      <c r="L28" s="152" t="str">
        <f t="shared" si="0"/>
        <v>-</v>
      </c>
    </row>
    <row r="29" spans="2:12" ht="13.5">
      <c r="B29" s="153" t="s">
        <v>2551</v>
      </c>
      <c r="C29" s="457" t="s">
        <v>2892</v>
      </c>
      <c r="D29" s="458"/>
      <c r="E29" s="458"/>
      <c r="F29" s="458"/>
      <c r="G29" s="458"/>
      <c r="H29" s="458"/>
      <c r="I29" s="150">
        <v>11</v>
      </c>
      <c r="J29" s="154"/>
      <c r="K29" s="155"/>
      <c r="L29" s="152" t="str">
        <f t="shared" si="0"/>
        <v>-</v>
      </c>
    </row>
    <row r="30" spans="2:12" ht="13.5">
      <c r="B30" s="153" t="s">
        <v>2553</v>
      </c>
      <c r="C30" s="457" t="s">
        <v>2893</v>
      </c>
      <c r="D30" s="458"/>
      <c r="E30" s="458"/>
      <c r="F30" s="458"/>
      <c r="G30" s="458"/>
      <c r="H30" s="458"/>
      <c r="I30" s="150">
        <v>12</v>
      </c>
      <c r="J30" s="154"/>
      <c r="K30" s="155"/>
      <c r="L30" s="152" t="str">
        <f t="shared" si="0"/>
        <v>-</v>
      </c>
    </row>
    <row r="31" spans="2:12" ht="13.5">
      <c r="B31" s="153" t="s">
        <v>2555</v>
      </c>
      <c r="C31" s="457" t="s">
        <v>2894</v>
      </c>
      <c r="D31" s="458"/>
      <c r="E31" s="458"/>
      <c r="F31" s="458"/>
      <c r="G31" s="458"/>
      <c r="H31" s="458"/>
      <c r="I31" s="150">
        <v>13</v>
      </c>
      <c r="J31" s="154"/>
      <c r="K31" s="155"/>
      <c r="L31" s="152" t="str">
        <f t="shared" si="0"/>
        <v>-</v>
      </c>
    </row>
    <row r="32" spans="2:12" ht="13.5">
      <c r="B32" s="153" t="s">
        <v>2557</v>
      </c>
      <c r="C32" s="457" t="s">
        <v>2895</v>
      </c>
      <c r="D32" s="458"/>
      <c r="E32" s="458"/>
      <c r="F32" s="458"/>
      <c r="G32" s="458"/>
      <c r="H32" s="458"/>
      <c r="I32" s="150">
        <v>14</v>
      </c>
      <c r="J32" s="154"/>
      <c r="K32" s="155"/>
      <c r="L32" s="152" t="str">
        <f t="shared" si="0"/>
        <v>-</v>
      </c>
    </row>
    <row r="33" spans="2:12" ht="13.5">
      <c r="B33" s="153" t="s">
        <v>2559</v>
      </c>
      <c r="C33" s="457" t="s">
        <v>2896</v>
      </c>
      <c r="D33" s="458"/>
      <c r="E33" s="458"/>
      <c r="F33" s="458"/>
      <c r="G33" s="458"/>
      <c r="H33" s="458"/>
      <c r="I33" s="150">
        <v>15</v>
      </c>
      <c r="J33" s="154"/>
      <c r="K33" s="155"/>
      <c r="L33" s="152" t="str">
        <f t="shared" si="0"/>
        <v>-</v>
      </c>
    </row>
    <row r="34" spans="2:12" ht="13.5">
      <c r="B34" s="153" t="s">
        <v>2561</v>
      </c>
      <c r="C34" s="457" t="s">
        <v>2897</v>
      </c>
      <c r="D34" s="458"/>
      <c r="E34" s="458"/>
      <c r="F34" s="458"/>
      <c r="G34" s="458"/>
      <c r="H34" s="458"/>
      <c r="I34" s="150">
        <v>16</v>
      </c>
      <c r="J34" s="154"/>
      <c r="K34" s="155"/>
      <c r="L34" s="152" t="str">
        <f t="shared" si="0"/>
        <v>-</v>
      </c>
    </row>
    <row r="35" spans="2:12" ht="13.5">
      <c r="B35" s="153" t="s">
        <v>2898</v>
      </c>
      <c r="C35" s="457" t="s">
        <v>2899</v>
      </c>
      <c r="D35" s="458"/>
      <c r="E35" s="458"/>
      <c r="F35" s="458"/>
      <c r="G35" s="458"/>
      <c r="H35" s="458"/>
      <c r="I35" s="150">
        <v>17</v>
      </c>
      <c r="J35" s="154"/>
      <c r="K35" s="155"/>
      <c r="L35" s="152" t="str">
        <f t="shared" si="0"/>
        <v>-</v>
      </c>
    </row>
    <row r="36" spans="2:12" ht="13.5">
      <c r="B36" s="149" t="s">
        <v>2900</v>
      </c>
      <c r="C36" s="459" t="s">
        <v>2901</v>
      </c>
      <c r="D36" s="460"/>
      <c r="E36" s="460"/>
      <c r="F36" s="460"/>
      <c r="G36" s="460"/>
      <c r="H36" s="460"/>
      <c r="I36" s="150">
        <v>18</v>
      </c>
      <c r="J36" s="151">
        <f>J37+J41+J49+J52+J57+J60-J64</f>
        <v>9453</v>
      </c>
      <c r="K36" s="151">
        <f>K37+K41+K49+K52+K57+K60-K64</f>
        <v>6569</v>
      </c>
      <c r="L36" s="152">
        <f t="shared" si="0"/>
        <v>69.49116682534645</v>
      </c>
    </row>
    <row r="37" spans="2:12" ht="13.5">
      <c r="B37" s="153" t="s">
        <v>2902</v>
      </c>
      <c r="C37" s="457" t="s">
        <v>2903</v>
      </c>
      <c r="D37" s="458"/>
      <c r="E37" s="458"/>
      <c r="F37" s="458"/>
      <c r="G37" s="458"/>
      <c r="H37" s="458"/>
      <c r="I37" s="150">
        <v>19</v>
      </c>
      <c r="J37" s="151">
        <f>SUM(J38:J40)</f>
        <v>0</v>
      </c>
      <c r="K37" s="151">
        <f>SUM(K38:K40)</f>
        <v>0</v>
      </c>
      <c r="L37" s="152" t="str">
        <f t="shared" si="0"/>
        <v>-</v>
      </c>
    </row>
    <row r="38" spans="2:12" ht="13.5">
      <c r="B38" s="153" t="s">
        <v>2904</v>
      </c>
      <c r="C38" s="457" t="s">
        <v>2905</v>
      </c>
      <c r="D38" s="458"/>
      <c r="E38" s="458"/>
      <c r="F38" s="458"/>
      <c r="G38" s="458"/>
      <c r="H38" s="458"/>
      <c r="I38" s="150">
        <v>20</v>
      </c>
      <c r="J38" s="154"/>
      <c r="K38" s="155"/>
      <c r="L38" s="152" t="str">
        <f t="shared" si="0"/>
        <v>-</v>
      </c>
    </row>
    <row r="39" spans="2:12" ht="13.5">
      <c r="B39" s="153" t="s">
        <v>2906</v>
      </c>
      <c r="C39" s="457" t="s">
        <v>2907</v>
      </c>
      <c r="D39" s="458"/>
      <c r="E39" s="458"/>
      <c r="F39" s="458"/>
      <c r="G39" s="458"/>
      <c r="H39" s="458"/>
      <c r="I39" s="150">
        <v>21</v>
      </c>
      <c r="J39" s="154"/>
      <c r="K39" s="155"/>
      <c r="L39" s="152" t="str">
        <f t="shared" si="0"/>
        <v>-</v>
      </c>
    </row>
    <row r="40" spans="2:12" ht="13.5">
      <c r="B40" s="153" t="s">
        <v>2908</v>
      </c>
      <c r="C40" s="457" t="s">
        <v>2909</v>
      </c>
      <c r="D40" s="458"/>
      <c r="E40" s="458"/>
      <c r="F40" s="458"/>
      <c r="G40" s="458"/>
      <c r="H40" s="458"/>
      <c r="I40" s="150">
        <v>22</v>
      </c>
      <c r="J40" s="154"/>
      <c r="K40" s="155"/>
      <c r="L40" s="152" t="str">
        <f t="shared" si="0"/>
        <v>-</v>
      </c>
    </row>
    <row r="41" spans="2:12" ht="13.5">
      <c r="B41" s="153" t="s">
        <v>2910</v>
      </c>
      <c r="C41" s="457" t="s">
        <v>2911</v>
      </c>
      <c r="D41" s="458"/>
      <c r="E41" s="458"/>
      <c r="F41" s="458"/>
      <c r="G41" s="458"/>
      <c r="H41" s="458"/>
      <c r="I41" s="150">
        <v>23</v>
      </c>
      <c r="J41" s="151">
        <f>SUM(J42:J48)</f>
        <v>376519</v>
      </c>
      <c r="K41" s="151">
        <f>SUM(K42:K48)</f>
        <v>376519</v>
      </c>
      <c r="L41" s="152">
        <f t="shared" si="0"/>
        <v>100</v>
      </c>
    </row>
    <row r="42" spans="2:12" ht="13.5">
      <c r="B42" s="153" t="s">
        <v>2912</v>
      </c>
      <c r="C42" s="457" t="s">
        <v>2913</v>
      </c>
      <c r="D42" s="458"/>
      <c r="E42" s="458"/>
      <c r="F42" s="458"/>
      <c r="G42" s="458"/>
      <c r="H42" s="458"/>
      <c r="I42" s="150">
        <v>24</v>
      </c>
      <c r="J42" s="154">
        <v>337050</v>
      </c>
      <c r="K42" s="155">
        <v>337050</v>
      </c>
      <c r="L42" s="152">
        <f t="shared" si="0"/>
        <v>100</v>
      </c>
    </row>
    <row r="43" spans="2:12" ht="13.5">
      <c r="B43" s="153" t="s">
        <v>2914</v>
      </c>
      <c r="C43" s="457" t="s">
        <v>2915</v>
      </c>
      <c r="D43" s="458"/>
      <c r="E43" s="458"/>
      <c r="F43" s="458"/>
      <c r="G43" s="458"/>
      <c r="H43" s="458"/>
      <c r="I43" s="150">
        <v>25</v>
      </c>
      <c r="J43" s="154"/>
      <c r="K43" s="155"/>
      <c r="L43" s="152" t="str">
        <f t="shared" si="0"/>
        <v>-</v>
      </c>
    </row>
    <row r="44" spans="2:12" ht="13.5">
      <c r="B44" s="153" t="s">
        <v>2916</v>
      </c>
      <c r="C44" s="457" t="s">
        <v>2917</v>
      </c>
      <c r="D44" s="458"/>
      <c r="E44" s="458"/>
      <c r="F44" s="458"/>
      <c r="G44" s="458"/>
      <c r="H44" s="458"/>
      <c r="I44" s="150">
        <v>26</v>
      </c>
      <c r="J44" s="154"/>
      <c r="K44" s="155"/>
      <c r="L44" s="152" t="str">
        <f t="shared" si="0"/>
        <v>-</v>
      </c>
    </row>
    <row r="45" spans="2:12" ht="13.5">
      <c r="B45" s="153" t="s">
        <v>2918</v>
      </c>
      <c r="C45" s="457" t="s">
        <v>2919</v>
      </c>
      <c r="D45" s="458"/>
      <c r="E45" s="458"/>
      <c r="F45" s="458"/>
      <c r="G45" s="458"/>
      <c r="H45" s="458"/>
      <c r="I45" s="150">
        <v>27</v>
      </c>
      <c r="J45" s="154"/>
      <c r="K45" s="155"/>
      <c r="L45" s="152" t="str">
        <f t="shared" si="0"/>
        <v>-</v>
      </c>
    </row>
    <row r="46" spans="2:12" ht="13.5">
      <c r="B46" s="153" t="s">
        <v>2920</v>
      </c>
      <c r="C46" s="457" t="s">
        <v>2921</v>
      </c>
      <c r="D46" s="458"/>
      <c r="E46" s="458"/>
      <c r="F46" s="458"/>
      <c r="G46" s="458"/>
      <c r="H46" s="458"/>
      <c r="I46" s="150">
        <v>28</v>
      </c>
      <c r="J46" s="154"/>
      <c r="K46" s="155"/>
      <c r="L46" s="152" t="str">
        <f t="shared" si="0"/>
        <v>-</v>
      </c>
    </row>
    <row r="47" spans="2:12" ht="13.5">
      <c r="B47" s="153" t="s">
        <v>2922</v>
      </c>
      <c r="C47" s="457" t="s">
        <v>823</v>
      </c>
      <c r="D47" s="458"/>
      <c r="E47" s="458"/>
      <c r="F47" s="458"/>
      <c r="G47" s="458"/>
      <c r="H47" s="458"/>
      <c r="I47" s="150">
        <v>29</v>
      </c>
      <c r="J47" s="154"/>
      <c r="K47" s="155"/>
      <c r="L47" s="152" t="str">
        <f t="shared" si="0"/>
        <v>-</v>
      </c>
    </row>
    <row r="48" spans="2:12" ht="13.5">
      <c r="B48" s="153" t="s">
        <v>824</v>
      </c>
      <c r="C48" s="457" t="s">
        <v>825</v>
      </c>
      <c r="D48" s="458"/>
      <c r="E48" s="458"/>
      <c r="F48" s="458"/>
      <c r="G48" s="458"/>
      <c r="H48" s="458"/>
      <c r="I48" s="150">
        <v>30</v>
      </c>
      <c r="J48" s="154">
        <v>39469</v>
      </c>
      <c r="K48" s="155">
        <v>39469</v>
      </c>
      <c r="L48" s="152">
        <f t="shared" si="0"/>
        <v>100</v>
      </c>
    </row>
    <row r="49" spans="2:12" ht="13.5">
      <c r="B49" s="153" t="s">
        <v>826</v>
      </c>
      <c r="C49" s="457" t="s">
        <v>827</v>
      </c>
      <c r="D49" s="458"/>
      <c r="E49" s="458"/>
      <c r="F49" s="458"/>
      <c r="G49" s="458"/>
      <c r="H49" s="458"/>
      <c r="I49" s="150">
        <v>31</v>
      </c>
      <c r="J49" s="151">
        <f>SUM(J50:J51)</f>
        <v>0</v>
      </c>
      <c r="K49" s="151">
        <f>SUM(K50:K51)</f>
        <v>0</v>
      </c>
      <c r="L49" s="152" t="str">
        <f t="shared" si="0"/>
        <v>-</v>
      </c>
    </row>
    <row r="50" spans="2:12" ht="13.5">
      <c r="B50" s="153" t="s">
        <v>828</v>
      </c>
      <c r="C50" s="457" t="s">
        <v>2086</v>
      </c>
      <c r="D50" s="458"/>
      <c r="E50" s="458"/>
      <c r="F50" s="458"/>
      <c r="G50" s="458"/>
      <c r="H50" s="458"/>
      <c r="I50" s="150">
        <v>32</v>
      </c>
      <c r="J50" s="154"/>
      <c r="K50" s="155"/>
      <c r="L50" s="152" t="str">
        <f t="shared" si="0"/>
        <v>-</v>
      </c>
    </row>
    <row r="51" spans="2:12" ht="13.5">
      <c r="B51" s="153" t="s">
        <v>2087</v>
      </c>
      <c r="C51" s="457" t="s">
        <v>2088</v>
      </c>
      <c r="D51" s="458"/>
      <c r="E51" s="458"/>
      <c r="F51" s="458"/>
      <c r="G51" s="458"/>
      <c r="H51" s="458"/>
      <c r="I51" s="150">
        <v>33</v>
      </c>
      <c r="J51" s="154"/>
      <c r="K51" s="155"/>
      <c r="L51" s="152" t="str">
        <f aca="true" t="shared" si="1" ref="L51:L82">IF(J51&gt;0,IF(K51/J51&gt;=100,"&gt;&gt;100",K51/J51*100),"-")</f>
        <v>-</v>
      </c>
    </row>
    <row r="52" spans="2:12" ht="13.5">
      <c r="B52" s="153" t="s">
        <v>2089</v>
      </c>
      <c r="C52" s="457" t="s">
        <v>1503</v>
      </c>
      <c r="D52" s="458"/>
      <c r="E52" s="458"/>
      <c r="F52" s="458"/>
      <c r="G52" s="458"/>
      <c r="H52" s="458"/>
      <c r="I52" s="150">
        <v>34</v>
      </c>
      <c r="J52" s="151">
        <f>SUM(J53:J56)</f>
        <v>0</v>
      </c>
      <c r="K52" s="151">
        <f>SUM(K53:K56)</f>
        <v>0</v>
      </c>
      <c r="L52" s="152" t="str">
        <f t="shared" si="1"/>
        <v>-</v>
      </c>
    </row>
    <row r="53" spans="2:12" ht="13.5">
      <c r="B53" s="153" t="s">
        <v>1504</v>
      </c>
      <c r="C53" s="457" t="s">
        <v>1505</v>
      </c>
      <c r="D53" s="458"/>
      <c r="E53" s="458"/>
      <c r="F53" s="458"/>
      <c r="G53" s="458"/>
      <c r="H53" s="458"/>
      <c r="I53" s="150">
        <v>35</v>
      </c>
      <c r="J53" s="154"/>
      <c r="K53" s="155"/>
      <c r="L53" s="152" t="str">
        <f t="shared" si="1"/>
        <v>-</v>
      </c>
    </row>
    <row r="54" spans="2:12" ht="13.5">
      <c r="B54" s="153" t="s">
        <v>1506</v>
      </c>
      <c r="C54" s="457" t="s">
        <v>1507</v>
      </c>
      <c r="D54" s="458"/>
      <c r="E54" s="458"/>
      <c r="F54" s="458"/>
      <c r="G54" s="458"/>
      <c r="H54" s="458"/>
      <c r="I54" s="150">
        <v>36</v>
      </c>
      <c r="J54" s="154"/>
      <c r="K54" s="155"/>
      <c r="L54" s="152" t="str">
        <f t="shared" si="1"/>
        <v>-</v>
      </c>
    </row>
    <row r="55" spans="2:12" ht="13.5">
      <c r="B55" s="153" t="s">
        <v>1508</v>
      </c>
      <c r="C55" s="457" t="s">
        <v>1509</v>
      </c>
      <c r="D55" s="458"/>
      <c r="E55" s="458"/>
      <c r="F55" s="458"/>
      <c r="G55" s="458"/>
      <c r="H55" s="458"/>
      <c r="I55" s="150">
        <v>37</v>
      </c>
      <c r="J55" s="154"/>
      <c r="K55" s="155"/>
      <c r="L55" s="152" t="str">
        <f t="shared" si="1"/>
        <v>-</v>
      </c>
    </row>
    <row r="56" spans="2:12" ht="13.5">
      <c r="B56" s="153" t="s">
        <v>1510</v>
      </c>
      <c r="C56" s="457" t="s">
        <v>1511</v>
      </c>
      <c r="D56" s="458"/>
      <c r="E56" s="458"/>
      <c r="F56" s="458"/>
      <c r="G56" s="458"/>
      <c r="H56" s="458"/>
      <c r="I56" s="150">
        <v>38</v>
      </c>
      <c r="J56" s="154"/>
      <c r="K56" s="155"/>
      <c r="L56" s="152" t="str">
        <f t="shared" si="1"/>
        <v>-</v>
      </c>
    </row>
    <row r="57" spans="2:12" ht="13.5">
      <c r="B57" s="153" t="s">
        <v>1512</v>
      </c>
      <c r="C57" s="457" t="s">
        <v>1513</v>
      </c>
      <c r="D57" s="458"/>
      <c r="E57" s="458"/>
      <c r="F57" s="458"/>
      <c r="G57" s="458"/>
      <c r="H57" s="458"/>
      <c r="I57" s="150">
        <v>39</v>
      </c>
      <c r="J57" s="151">
        <f>SUM(J58:J59)</f>
        <v>0</v>
      </c>
      <c r="K57" s="151">
        <f>SUM(K58:K59)</f>
        <v>0</v>
      </c>
      <c r="L57" s="152" t="str">
        <f t="shared" si="1"/>
        <v>-</v>
      </c>
    </row>
    <row r="58" spans="2:12" ht="13.5">
      <c r="B58" s="153" t="s">
        <v>1514</v>
      </c>
      <c r="C58" s="457" t="s">
        <v>1515</v>
      </c>
      <c r="D58" s="458"/>
      <c r="E58" s="458"/>
      <c r="F58" s="458"/>
      <c r="G58" s="458"/>
      <c r="H58" s="458"/>
      <c r="I58" s="150">
        <v>40</v>
      </c>
      <c r="J58" s="154"/>
      <c r="K58" s="155"/>
      <c r="L58" s="152" t="str">
        <f t="shared" si="1"/>
        <v>-</v>
      </c>
    </row>
    <row r="59" spans="2:12" ht="13.5">
      <c r="B59" s="153" t="s">
        <v>1516</v>
      </c>
      <c r="C59" s="457" t="s">
        <v>1517</v>
      </c>
      <c r="D59" s="458"/>
      <c r="E59" s="458"/>
      <c r="F59" s="458"/>
      <c r="G59" s="458"/>
      <c r="H59" s="458"/>
      <c r="I59" s="150">
        <v>41</v>
      </c>
      <c r="J59" s="154"/>
      <c r="K59" s="155"/>
      <c r="L59" s="152" t="str">
        <f t="shared" si="1"/>
        <v>-</v>
      </c>
    </row>
    <row r="60" spans="2:12" ht="13.5">
      <c r="B60" s="153" t="s">
        <v>1518</v>
      </c>
      <c r="C60" s="457" t="s">
        <v>71</v>
      </c>
      <c r="D60" s="458"/>
      <c r="E60" s="458"/>
      <c r="F60" s="458"/>
      <c r="G60" s="458"/>
      <c r="H60" s="458"/>
      <c r="I60" s="150">
        <v>42</v>
      </c>
      <c r="J60" s="151">
        <f>SUM(J61:J63)</f>
        <v>0</v>
      </c>
      <c r="K60" s="151">
        <f>SUM(K61:K63)</f>
        <v>0</v>
      </c>
      <c r="L60" s="152" t="str">
        <f t="shared" si="1"/>
        <v>-</v>
      </c>
    </row>
    <row r="61" spans="2:12" ht="13.5">
      <c r="B61" s="153" t="s">
        <v>72</v>
      </c>
      <c r="C61" s="457" t="s">
        <v>73</v>
      </c>
      <c r="D61" s="458"/>
      <c r="E61" s="458"/>
      <c r="F61" s="458"/>
      <c r="G61" s="458"/>
      <c r="H61" s="458"/>
      <c r="I61" s="150">
        <v>43</v>
      </c>
      <c r="J61" s="154"/>
      <c r="K61" s="155"/>
      <c r="L61" s="152" t="str">
        <f t="shared" si="1"/>
        <v>-</v>
      </c>
    </row>
    <row r="62" spans="2:12" ht="13.5">
      <c r="B62" s="153" t="s">
        <v>74</v>
      </c>
      <c r="C62" s="457" t="s">
        <v>75</v>
      </c>
      <c r="D62" s="458"/>
      <c r="E62" s="458"/>
      <c r="F62" s="458"/>
      <c r="G62" s="458"/>
      <c r="H62" s="458"/>
      <c r="I62" s="150">
        <v>44</v>
      </c>
      <c r="J62" s="154"/>
      <c r="K62" s="155"/>
      <c r="L62" s="152" t="str">
        <f t="shared" si="1"/>
        <v>-</v>
      </c>
    </row>
    <row r="63" spans="2:12" ht="13.5">
      <c r="B63" s="153" t="s">
        <v>76</v>
      </c>
      <c r="C63" s="457" t="s">
        <v>77</v>
      </c>
      <c r="D63" s="458"/>
      <c r="E63" s="458"/>
      <c r="F63" s="458"/>
      <c r="G63" s="458"/>
      <c r="H63" s="458"/>
      <c r="I63" s="150">
        <v>45</v>
      </c>
      <c r="J63" s="154"/>
      <c r="K63" s="155"/>
      <c r="L63" s="152" t="str">
        <f t="shared" si="1"/>
        <v>-</v>
      </c>
    </row>
    <row r="64" spans="2:12" ht="13.5">
      <c r="B64" s="153" t="s">
        <v>78</v>
      </c>
      <c r="C64" s="457" t="s">
        <v>79</v>
      </c>
      <c r="D64" s="458"/>
      <c r="E64" s="458"/>
      <c r="F64" s="458"/>
      <c r="G64" s="458"/>
      <c r="H64" s="458"/>
      <c r="I64" s="150">
        <v>46</v>
      </c>
      <c r="J64" s="154">
        <v>367066</v>
      </c>
      <c r="K64" s="155">
        <v>369950</v>
      </c>
      <c r="L64" s="152">
        <f t="shared" si="1"/>
        <v>100.78568976696289</v>
      </c>
    </row>
    <row r="65" spans="2:12" ht="13.5">
      <c r="B65" s="149" t="s">
        <v>80</v>
      </c>
      <c r="C65" s="459" t="s">
        <v>81</v>
      </c>
      <c r="D65" s="460"/>
      <c r="E65" s="460"/>
      <c r="F65" s="460"/>
      <c r="G65" s="460"/>
      <c r="H65" s="460"/>
      <c r="I65" s="150">
        <v>47</v>
      </c>
      <c r="J65" s="151">
        <f>J66</f>
        <v>0</v>
      </c>
      <c r="K65" s="151">
        <f>K66</f>
        <v>0</v>
      </c>
      <c r="L65" s="152" t="str">
        <f t="shared" si="1"/>
        <v>-</v>
      </c>
    </row>
    <row r="66" spans="2:12" ht="13.5">
      <c r="B66" s="153" t="s">
        <v>82</v>
      </c>
      <c r="C66" s="457" t="s">
        <v>83</v>
      </c>
      <c r="D66" s="458"/>
      <c r="E66" s="458"/>
      <c r="F66" s="458"/>
      <c r="G66" s="458"/>
      <c r="H66" s="458"/>
      <c r="I66" s="150">
        <v>48</v>
      </c>
      <c r="J66" s="151">
        <f>SUM(J67:J68)</f>
        <v>0</v>
      </c>
      <c r="K66" s="151">
        <f>SUM(K67:K68)</f>
        <v>0</v>
      </c>
      <c r="L66" s="152" t="str">
        <f t="shared" si="1"/>
        <v>-</v>
      </c>
    </row>
    <row r="67" spans="2:12" ht="13.5">
      <c r="B67" s="153" t="s">
        <v>962</v>
      </c>
      <c r="C67" s="457" t="s">
        <v>84</v>
      </c>
      <c r="D67" s="458"/>
      <c r="E67" s="458"/>
      <c r="F67" s="458"/>
      <c r="G67" s="458"/>
      <c r="H67" s="458"/>
      <c r="I67" s="150">
        <v>49</v>
      </c>
      <c r="J67" s="154"/>
      <c r="K67" s="155"/>
      <c r="L67" s="152" t="str">
        <f t="shared" si="1"/>
        <v>-</v>
      </c>
    </row>
    <row r="68" spans="2:12" ht="13.5">
      <c r="B68" s="153" t="s">
        <v>964</v>
      </c>
      <c r="C68" s="457" t="s">
        <v>85</v>
      </c>
      <c r="D68" s="458"/>
      <c r="E68" s="458"/>
      <c r="F68" s="458"/>
      <c r="G68" s="458"/>
      <c r="H68" s="458"/>
      <c r="I68" s="150">
        <v>50</v>
      </c>
      <c r="J68" s="154"/>
      <c r="K68" s="155"/>
      <c r="L68" s="152" t="str">
        <f t="shared" si="1"/>
        <v>-</v>
      </c>
    </row>
    <row r="69" spans="2:12" ht="13.5">
      <c r="B69" s="149" t="s">
        <v>86</v>
      </c>
      <c r="C69" s="459" t="s">
        <v>87</v>
      </c>
      <c r="D69" s="460"/>
      <c r="E69" s="460"/>
      <c r="F69" s="460"/>
      <c r="G69" s="460"/>
      <c r="H69" s="460"/>
      <c r="I69" s="150">
        <v>51</v>
      </c>
      <c r="J69" s="151">
        <f>J70+J71-J72</f>
        <v>0</v>
      </c>
      <c r="K69" s="151">
        <f>K70+K71-K72</f>
        <v>0</v>
      </c>
      <c r="L69" s="152" t="str">
        <f t="shared" si="1"/>
        <v>-</v>
      </c>
    </row>
    <row r="70" spans="2:12" ht="13.5">
      <c r="B70" s="153" t="s">
        <v>88</v>
      </c>
      <c r="C70" s="457" t="s">
        <v>89</v>
      </c>
      <c r="D70" s="458"/>
      <c r="E70" s="458"/>
      <c r="F70" s="458"/>
      <c r="G70" s="458"/>
      <c r="H70" s="458"/>
      <c r="I70" s="150">
        <v>52</v>
      </c>
      <c r="J70" s="154"/>
      <c r="K70" s="155"/>
      <c r="L70" s="152" t="str">
        <f t="shared" si="1"/>
        <v>-</v>
      </c>
    </row>
    <row r="71" spans="2:12" ht="13.5">
      <c r="B71" s="153" t="s">
        <v>90</v>
      </c>
      <c r="C71" s="457" t="s">
        <v>91</v>
      </c>
      <c r="D71" s="458"/>
      <c r="E71" s="458"/>
      <c r="F71" s="458"/>
      <c r="G71" s="458"/>
      <c r="H71" s="458"/>
      <c r="I71" s="150">
        <v>53</v>
      </c>
      <c r="J71" s="154"/>
      <c r="K71" s="155"/>
      <c r="L71" s="152" t="str">
        <f t="shared" si="1"/>
        <v>-</v>
      </c>
    </row>
    <row r="72" spans="2:12" ht="13.5">
      <c r="B72" s="153" t="s">
        <v>92</v>
      </c>
      <c r="C72" s="457" t="s">
        <v>93</v>
      </c>
      <c r="D72" s="458"/>
      <c r="E72" s="458"/>
      <c r="F72" s="458"/>
      <c r="G72" s="458"/>
      <c r="H72" s="458"/>
      <c r="I72" s="150">
        <v>54</v>
      </c>
      <c r="J72" s="154"/>
      <c r="K72" s="155"/>
      <c r="L72" s="152" t="str">
        <f t="shared" si="1"/>
        <v>-</v>
      </c>
    </row>
    <row r="73" spans="2:12" ht="13.5">
      <c r="B73" s="149" t="s">
        <v>94</v>
      </c>
      <c r="C73" s="459" t="s">
        <v>95</v>
      </c>
      <c r="D73" s="460"/>
      <c r="E73" s="460"/>
      <c r="F73" s="460"/>
      <c r="G73" s="460"/>
      <c r="H73" s="460"/>
      <c r="I73" s="150">
        <v>55</v>
      </c>
      <c r="J73" s="151">
        <f>SUM(J74:J77)+SUM(J80:J81)</f>
        <v>0</v>
      </c>
      <c r="K73" s="151">
        <f>SUM(K74:K77)+SUM(K80:K81)</f>
        <v>0</v>
      </c>
      <c r="L73" s="152" t="str">
        <f t="shared" si="1"/>
        <v>-</v>
      </c>
    </row>
    <row r="74" spans="2:12" ht="13.5">
      <c r="B74" s="153" t="s">
        <v>226</v>
      </c>
      <c r="C74" s="457" t="s">
        <v>209</v>
      </c>
      <c r="D74" s="458"/>
      <c r="E74" s="458"/>
      <c r="F74" s="458"/>
      <c r="G74" s="458"/>
      <c r="H74" s="458"/>
      <c r="I74" s="150">
        <v>56</v>
      </c>
      <c r="J74" s="154"/>
      <c r="K74" s="155"/>
      <c r="L74" s="152" t="str">
        <f t="shared" si="1"/>
        <v>-</v>
      </c>
    </row>
    <row r="75" spans="2:12" ht="13.5">
      <c r="B75" s="153" t="s">
        <v>227</v>
      </c>
      <c r="C75" s="457" t="s">
        <v>210</v>
      </c>
      <c r="D75" s="458"/>
      <c r="E75" s="458"/>
      <c r="F75" s="458"/>
      <c r="G75" s="458"/>
      <c r="H75" s="458"/>
      <c r="I75" s="150">
        <v>57</v>
      </c>
      <c r="J75" s="154"/>
      <c r="K75" s="155"/>
      <c r="L75" s="152" t="str">
        <f t="shared" si="1"/>
        <v>-</v>
      </c>
    </row>
    <row r="76" spans="2:12" ht="13.5">
      <c r="B76" s="153" t="s">
        <v>228</v>
      </c>
      <c r="C76" s="457" t="s">
        <v>211</v>
      </c>
      <c r="D76" s="458"/>
      <c r="E76" s="458"/>
      <c r="F76" s="458"/>
      <c r="G76" s="458"/>
      <c r="H76" s="458"/>
      <c r="I76" s="150">
        <v>58</v>
      </c>
      <c r="J76" s="154"/>
      <c r="K76" s="155"/>
      <c r="L76" s="152" t="str">
        <f t="shared" si="1"/>
        <v>-</v>
      </c>
    </row>
    <row r="77" spans="2:12" ht="13.5">
      <c r="B77" s="153" t="s">
        <v>229</v>
      </c>
      <c r="C77" s="457" t="s">
        <v>96</v>
      </c>
      <c r="D77" s="458"/>
      <c r="E77" s="458"/>
      <c r="F77" s="458"/>
      <c r="G77" s="458"/>
      <c r="H77" s="458"/>
      <c r="I77" s="150">
        <v>59</v>
      </c>
      <c r="J77" s="151">
        <f>SUM(J78:J79)</f>
        <v>0</v>
      </c>
      <c r="K77" s="151">
        <f>SUM(K78:K79)</f>
        <v>0</v>
      </c>
      <c r="L77" s="152" t="str">
        <f t="shared" si="1"/>
        <v>-</v>
      </c>
    </row>
    <row r="78" spans="2:12" ht="13.5">
      <c r="B78" s="153" t="s">
        <v>97</v>
      </c>
      <c r="C78" s="457" t="s">
        <v>98</v>
      </c>
      <c r="D78" s="458"/>
      <c r="E78" s="458"/>
      <c r="F78" s="458"/>
      <c r="G78" s="458"/>
      <c r="H78" s="458"/>
      <c r="I78" s="150">
        <v>60</v>
      </c>
      <c r="J78" s="154"/>
      <c r="K78" s="155"/>
      <c r="L78" s="152" t="str">
        <f t="shared" si="1"/>
        <v>-</v>
      </c>
    </row>
    <row r="79" spans="2:12" ht="13.5">
      <c r="B79" s="153" t="s">
        <v>99</v>
      </c>
      <c r="C79" s="457" t="s">
        <v>100</v>
      </c>
      <c r="D79" s="458"/>
      <c r="E79" s="458"/>
      <c r="F79" s="458"/>
      <c r="G79" s="458"/>
      <c r="H79" s="458"/>
      <c r="I79" s="150">
        <v>61</v>
      </c>
      <c r="J79" s="154"/>
      <c r="K79" s="155"/>
      <c r="L79" s="152" t="str">
        <f t="shared" si="1"/>
        <v>-</v>
      </c>
    </row>
    <row r="80" spans="2:12" ht="13.5">
      <c r="B80" s="153" t="s">
        <v>230</v>
      </c>
      <c r="C80" s="457" t="s">
        <v>213</v>
      </c>
      <c r="D80" s="458"/>
      <c r="E80" s="458"/>
      <c r="F80" s="458"/>
      <c r="G80" s="458"/>
      <c r="H80" s="458"/>
      <c r="I80" s="150">
        <v>62</v>
      </c>
      <c r="J80" s="154"/>
      <c r="K80" s="155"/>
      <c r="L80" s="152" t="str">
        <f t="shared" si="1"/>
        <v>-</v>
      </c>
    </row>
    <row r="81" spans="2:12" ht="13.5">
      <c r="B81" s="153" t="s">
        <v>231</v>
      </c>
      <c r="C81" s="457" t="s">
        <v>214</v>
      </c>
      <c r="D81" s="458"/>
      <c r="E81" s="458"/>
      <c r="F81" s="458"/>
      <c r="G81" s="458"/>
      <c r="H81" s="458"/>
      <c r="I81" s="150">
        <v>63</v>
      </c>
      <c r="J81" s="154"/>
      <c r="K81" s="155"/>
      <c r="L81" s="152" t="str">
        <f t="shared" si="1"/>
        <v>-</v>
      </c>
    </row>
    <row r="82" spans="2:12" ht="13.5">
      <c r="B82" s="149" t="s">
        <v>101</v>
      </c>
      <c r="C82" s="459" t="s">
        <v>102</v>
      </c>
      <c r="D82" s="460"/>
      <c r="E82" s="460"/>
      <c r="F82" s="460"/>
      <c r="G82" s="460"/>
      <c r="H82" s="460"/>
      <c r="I82" s="150">
        <v>64</v>
      </c>
      <c r="J82" s="151">
        <f>J83+J88+J91</f>
        <v>0</v>
      </c>
      <c r="K82" s="151">
        <f>K83+K88+K91</f>
        <v>0</v>
      </c>
      <c r="L82" s="152" t="str">
        <f t="shared" si="1"/>
        <v>-</v>
      </c>
    </row>
    <row r="83" spans="2:12" ht="13.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1353</v>
      </c>
      <c r="C84" s="457" t="s">
        <v>1354</v>
      </c>
      <c r="D84" s="458"/>
      <c r="E84" s="458"/>
      <c r="F84" s="458"/>
      <c r="G84" s="458"/>
      <c r="H84" s="458"/>
      <c r="I84" s="150">
        <v>66</v>
      </c>
      <c r="J84" s="154"/>
      <c r="K84" s="155"/>
      <c r="L84" s="152" t="str">
        <f t="shared" si="2"/>
        <v>-</v>
      </c>
    </row>
    <row r="85" spans="2:12" ht="13.5">
      <c r="B85" s="153" t="s">
        <v>1355</v>
      </c>
      <c r="C85" s="457" t="s">
        <v>1356</v>
      </c>
      <c r="D85" s="458"/>
      <c r="E85" s="458"/>
      <c r="F85" s="458"/>
      <c r="G85" s="458"/>
      <c r="H85" s="458"/>
      <c r="I85" s="150">
        <v>67</v>
      </c>
      <c r="J85" s="154"/>
      <c r="K85" s="155"/>
      <c r="L85" s="152" t="str">
        <f t="shared" si="2"/>
        <v>-</v>
      </c>
    </row>
    <row r="86" spans="2:12" ht="13.5">
      <c r="B86" s="153" t="s">
        <v>1357</v>
      </c>
      <c r="C86" s="457" t="s">
        <v>1358</v>
      </c>
      <c r="D86" s="458"/>
      <c r="E86" s="458"/>
      <c r="F86" s="458"/>
      <c r="G86" s="458"/>
      <c r="H86" s="458"/>
      <c r="I86" s="150">
        <v>68</v>
      </c>
      <c r="J86" s="154"/>
      <c r="K86" s="155"/>
      <c r="L86" s="152" t="str">
        <f t="shared" si="2"/>
        <v>-</v>
      </c>
    </row>
    <row r="87" spans="2:12" ht="13.5">
      <c r="B87" s="153" t="s">
        <v>1359</v>
      </c>
      <c r="C87" s="457" t="s">
        <v>1360</v>
      </c>
      <c r="D87" s="458"/>
      <c r="E87" s="458"/>
      <c r="F87" s="458"/>
      <c r="G87" s="458"/>
      <c r="H87" s="458"/>
      <c r="I87" s="150">
        <v>69</v>
      </c>
      <c r="J87" s="154"/>
      <c r="K87" s="155"/>
      <c r="L87" s="152" t="str">
        <f t="shared" si="2"/>
        <v>-</v>
      </c>
    </row>
    <row r="88" spans="2:12" ht="13.5">
      <c r="B88" s="153" t="s">
        <v>1361</v>
      </c>
      <c r="C88" s="457" t="s">
        <v>1362</v>
      </c>
      <c r="D88" s="458"/>
      <c r="E88" s="458"/>
      <c r="F88" s="458"/>
      <c r="G88" s="458"/>
      <c r="H88" s="458"/>
      <c r="I88" s="150">
        <v>70</v>
      </c>
      <c r="J88" s="151">
        <f>SUM(J89:J90)</f>
        <v>0</v>
      </c>
      <c r="K88" s="151">
        <f>SUM(K89:K90)</f>
        <v>0</v>
      </c>
      <c r="L88" s="152" t="str">
        <f t="shared" si="2"/>
        <v>-</v>
      </c>
    </row>
    <row r="89" spans="2:12" ht="13.5">
      <c r="B89" s="153" t="s">
        <v>1363</v>
      </c>
      <c r="C89" s="457" t="s">
        <v>1364</v>
      </c>
      <c r="D89" s="458"/>
      <c r="E89" s="458"/>
      <c r="F89" s="458"/>
      <c r="G89" s="458"/>
      <c r="H89" s="458"/>
      <c r="I89" s="150">
        <v>71</v>
      </c>
      <c r="J89" s="154"/>
      <c r="K89" s="155"/>
      <c r="L89" s="152" t="str">
        <f t="shared" si="2"/>
        <v>-</v>
      </c>
    </row>
    <row r="90" spans="2:12" ht="13.5">
      <c r="B90" s="153" t="s">
        <v>1365</v>
      </c>
      <c r="C90" s="457" t="s">
        <v>1366</v>
      </c>
      <c r="D90" s="458"/>
      <c r="E90" s="458"/>
      <c r="F90" s="458"/>
      <c r="G90" s="458"/>
      <c r="H90" s="458"/>
      <c r="I90" s="150">
        <v>72</v>
      </c>
      <c r="J90" s="154"/>
      <c r="K90" s="155"/>
      <c r="L90" s="152" t="str">
        <f t="shared" si="2"/>
        <v>-</v>
      </c>
    </row>
    <row r="91" spans="2:12" ht="13.5">
      <c r="B91" s="153" t="s">
        <v>1367</v>
      </c>
      <c r="C91" s="457" t="s">
        <v>1368</v>
      </c>
      <c r="D91" s="458"/>
      <c r="E91" s="458"/>
      <c r="F91" s="458"/>
      <c r="G91" s="458"/>
      <c r="H91" s="458"/>
      <c r="I91" s="150">
        <v>73</v>
      </c>
      <c r="J91" s="154"/>
      <c r="K91" s="155"/>
      <c r="L91" s="152" t="str">
        <f t="shared" si="2"/>
        <v>-</v>
      </c>
    </row>
    <row r="92" spans="2:12" ht="13.5">
      <c r="B92" s="149">
        <v>1</v>
      </c>
      <c r="C92" s="459" t="s">
        <v>1369</v>
      </c>
      <c r="D92" s="460"/>
      <c r="E92" s="460"/>
      <c r="F92" s="460"/>
      <c r="G92" s="460"/>
      <c r="H92" s="460"/>
      <c r="I92" s="150">
        <v>74</v>
      </c>
      <c r="J92" s="151">
        <f>J93+J101+J118+J123+J143+J151+J160</f>
        <v>98788</v>
      </c>
      <c r="K92" s="151">
        <f>K93+K101+K118+K123+K143+K151+K160</f>
        <v>122754</v>
      </c>
      <c r="L92" s="152">
        <f t="shared" si="2"/>
        <v>124.26003158278334</v>
      </c>
    </row>
    <row r="93" spans="2:12" ht="13.5">
      <c r="B93" s="153">
        <v>11</v>
      </c>
      <c r="C93" s="457" t="s">
        <v>1370</v>
      </c>
      <c r="D93" s="458"/>
      <c r="E93" s="458"/>
      <c r="F93" s="458"/>
      <c r="G93" s="458"/>
      <c r="H93" s="458"/>
      <c r="I93" s="150">
        <v>75</v>
      </c>
      <c r="J93" s="151">
        <f>J94+J98+J99+J100</f>
        <v>8390</v>
      </c>
      <c r="K93" s="151">
        <f>K94+K98+K99+K100</f>
        <v>5100</v>
      </c>
      <c r="L93" s="152">
        <f t="shared" si="2"/>
        <v>60.78665077473182</v>
      </c>
    </row>
    <row r="94" spans="2:12" ht="13.5">
      <c r="B94" s="153">
        <v>111</v>
      </c>
      <c r="C94" s="457" t="s">
        <v>1371</v>
      </c>
      <c r="D94" s="458"/>
      <c r="E94" s="458"/>
      <c r="F94" s="458"/>
      <c r="G94" s="458"/>
      <c r="H94" s="458"/>
      <c r="I94" s="150">
        <v>76</v>
      </c>
      <c r="J94" s="151">
        <f>SUM(J95:J97)</f>
        <v>3496</v>
      </c>
      <c r="K94" s="151">
        <f>SUM(K95:K97)</f>
        <v>2137</v>
      </c>
      <c r="L94" s="152">
        <f t="shared" si="2"/>
        <v>61.12700228832952</v>
      </c>
    </row>
    <row r="95" spans="2:12" ht="13.5">
      <c r="B95" s="153">
        <v>1111</v>
      </c>
      <c r="C95" s="457" t="s">
        <v>1372</v>
      </c>
      <c r="D95" s="458"/>
      <c r="E95" s="458"/>
      <c r="F95" s="458"/>
      <c r="G95" s="458"/>
      <c r="H95" s="458"/>
      <c r="I95" s="150">
        <v>77</v>
      </c>
      <c r="J95" s="154">
        <v>3496</v>
      </c>
      <c r="K95" s="155">
        <v>2137</v>
      </c>
      <c r="L95" s="152">
        <f t="shared" si="2"/>
        <v>61.12700228832952</v>
      </c>
    </row>
    <row r="96" spans="2:12" ht="13.5">
      <c r="B96" s="153">
        <v>1112</v>
      </c>
      <c r="C96" s="457" t="s">
        <v>1373</v>
      </c>
      <c r="D96" s="458"/>
      <c r="E96" s="458"/>
      <c r="F96" s="458"/>
      <c r="G96" s="458"/>
      <c r="H96" s="458"/>
      <c r="I96" s="150">
        <v>78</v>
      </c>
      <c r="J96" s="154"/>
      <c r="K96" s="155"/>
      <c r="L96" s="152" t="str">
        <f t="shared" si="2"/>
        <v>-</v>
      </c>
    </row>
    <row r="97" spans="2:12" ht="13.5">
      <c r="B97" s="153">
        <v>1113</v>
      </c>
      <c r="C97" s="457" t="s">
        <v>1374</v>
      </c>
      <c r="D97" s="458"/>
      <c r="E97" s="458"/>
      <c r="F97" s="458"/>
      <c r="G97" s="458"/>
      <c r="H97" s="458"/>
      <c r="I97" s="150">
        <v>79</v>
      </c>
      <c r="J97" s="154"/>
      <c r="K97" s="155"/>
      <c r="L97" s="152" t="str">
        <f t="shared" si="2"/>
        <v>-</v>
      </c>
    </row>
    <row r="98" spans="2:12" ht="13.5">
      <c r="B98" s="153">
        <v>112</v>
      </c>
      <c r="C98" s="457" t="s">
        <v>1375</v>
      </c>
      <c r="D98" s="458"/>
      <c r="E98" s="458"/>
      <c r="F98" s="458"/>
      <c r="G98" s="458"/>
      <c r="H98" s="458"/>
      <c r="I98" s="150">
        <v>80</v>
      </c>
      <c r="J98" s="154"/>
      <c r="K98" s="155"/>
      <c r="L98" s="152" t="str">
        <f t="shared" si="2"/>
        <v>-</v>
      </c>
    </row>
    <row r="99" spans="2:12" ht="13.5">
      <c r="B99" s="153">
        <v>113</v>
      </c>
      <c r="C99" s="457" t="s">
        <v>1376</v>
      </c>
      <c r="D99" s="458"/>
      <c r="E99" s="458"/>
      <c r="F99" s="458"/>
      <c r="G99" s="458"/>
      <c r="H99" s="458"/>
      <c r="I99" s="150">
        <v>81</v>
      </c>
      <c r="J99" s="154">
        <v>4894</v>
      </c>
      <c r="K99" s="155">
        <f>378+2585</f>
        <v>2963</v>
      </c>
      <c r="L99" s="152">
        <f t="shared" si="2"/>
        <v>60.543522680833675</v>
      </c>
    </row>
    <row r="100" spans="2:12" ht="13.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5"/>
      <c r="E101" s="465"/>
      <c r="F101" s="465"/>
      <c r="G101" s="465"/>
      <c r="H101" s="465"/>
      <c r="I101" s="150">
        <v>83</v>
      </c>
      <c r="J101" s="151">
        <f>J102+J105+J106+J107+J113</f>
        <v>5500</v>
      </c>
      <c r="K101" s="151">
        <f>K102+K105+K106+K107+K113</f>
        <v>5500</v>
      </c>
      <c r="L101" s="152">
        <f t="shared" si="2"/>
        <v>100</v>
      </c>
    </row>
    <row r="102" spans="2:12" ht="13.5">
      <c r="B102" s="153">
        <v>121</v>
      </c>
      <c r="C102" s="457" t="s">
        <v>1378</v>
      </c>
      <c r="D102" s="458"/>
      <c r="E102" s="458"/>
      <c r="F102" s="458"/>
      <c r="G102" s="458"/>
      <c r="H102" s="458"/>
      <c r="I102" s="150">
        <v>84</v>
      </c>
      <c r="J102" s="151">
        <f>SUM(J103:J104)</f>
        <v>0</v>
      </c>
      <c r="K102" s="151">
        <f>SUM(K103:K104)</f>
        <v>0</v>
      </c>
      <c r="L102" s="152" t="str">
        <f t="shared" si="2"/>
        <v>-</v>
      </c>
    </row>
    <row r="103" spans="2:12" ht="13.5">
      <c r="B103" s="153">
        <v>1211</v>
      </c>
      <c r="C103" s="457" t="s">
        <v>1379</v>
      </c>
      <c r="D103" s="458"/>
      <c r="E103" s="458"/>
      <c r="F103" s="458"/>
      <c r="G103" s="458"/>
      <c r="H103" s="458"/>
      <c r="I103" s="150">
        <v>85</v>
      </c>
      <c r="J103" s="154"/>
      <c r="K103" s="155"/>
      <c r="L103" s="152" t="str">
        <f t="shared" si="2"/>
        <v>-</v>
      </c>
    </row>
    <row r="104" spans="2:12" ht="13.5">
      <c r="B104" s="153">
        <v>1212</v>
      </c>
      <c r="C104" s="457" t="s">
        <v>1380</v>
      </c>
      <c r="D104" s="458"/>
      <c r="E104" s="458"/>
      <c r="F104" s="458"/>
      <c r="G104" s="458"/>
      <c r="H104" s="458"/>
      <c r="I104" s="150">
        <v>86</v>
      </c>
      <c r="J104" s="154"/>
      <c r="K104" s="155"/>
      <c r="L104" s="152" t="str">
        <f t="shared" si="2"/>
        <v>-</v>
      </c>
    </row>
    <row r="105" spans="2:12" ht="13.5">
      <c r="B105" s="153">
        <v>122</v>
      </c>
      <c r="C105" s="457" t="s">
        <v>1381</v>
      </c>
      <c r="D105" s="458"/>
      <c r="E105" s="458"/>
      <c r="F105" s="458"/>
      <c r="G105" s="458"/>
      <c r="H105" s="458"/>
      <c r="I105" s="150">
        <v>87</v>
      </c>
      <c r="J105" s="154"/>
      <c r="K105" s="155"/>
      <c r="L105" s="152" t="str">
        <f t="shared" si="2"/>
        <v>-</v>
      </c>
    </row>
    <row r="106" spans="2:12" ht="13.5">
      <c r="B106" s="153">
        <v>123</v>
      </c>
      <c r="C106" s="457" t="s">
        <v>1382</v>
      </c>
      <c r="D106" s="458"/>
      <c r="E106" s="458"/>
      <c r="F106" s="458"/>
      <c r="G106" s="458"/>
      <c r="H106" s="458"/>
      <c r="I106" s="150">
        <v>88</v>
      </c>
      <c r="J106" s="154"/>
      <c r="K106" s="155"/>
      <c r="L106" s="152" t="str">
        <f t="shared" si="2"/>
        <v>-</v>
      </c>
    </row>
    <row r="107" spans="2:12" ht="13.5">
      <c r="B107" s="153">
        <v>124</v>
      </c>
      <c r="C107" s="457" t="s">
        <v>1383</v>
      </c>
      <c r="D107" s="458"/>
      <c r="E107" s="458"/>
      <c r="F107" s="458"/>
      <c r="G107" s="458"/>
      <c r="H107" s="458"/>
      <c r="I107" s="150">
        <v>89</v>
      </c>
      <c r="J107" s="151">
        <f>SUM(J108:J112)</f>
        <v>0</v>
      </c>
      <c r="K107" s="151">
        <f>SUM(K108:K112)</f>
        <v>0</v>
      </c>
      <c r="L107" s="152" t="str">
        <f t="shared" si="2"/>
        <v>-</v>
      </c>
    </row>
    <row r="108" spans="2:12" ht="13.5">
      <c r="B108" s="153">
        <v>1241</v>
      </c>
      <c r="C108" s="457" t="s">
        <v>770</v>
      </c>
      <c r="D108" s="458"/>
      <c r="E108" s="458"/>
      <c r="F108" s="458"/>
      <c r="G108" s="458"/>
      <c r="H108" s="458"/>
      <c r="I108" s="150">
        <v>90</v>
      </c>
      <c r="J108" s="154"/>
      <c r="K108" s="155"/>
      <c r="L108" s="152" t="str">
        <f t="shared" si="2"/>
        <v>-</v>
      </c>
    </row>
    <row r="109" spans="2:12" ht="13.5">
      <c r="B109" s="153">
        <v>1242</v>
      </c>
      <c r="C109" s="457" t="s">
        <v>1384</v>
      </c>
      <c r="D109" s="458"/>
      <c r="E109" s="458"/>
      <c r="F109" s="458"/>
      <c r="G109" s="458"/>
      <c r="H109" s="458"/>
      <c r="I109" s="150">
        <v>91</v>
      </c>
      <c r="J109" s="154"/>
      <c r="K109" s="155"/>
      <c r="L109" s="152" t="str">
        <f t="shared" si="2"/>
        <v>-</v>
      </c>
    </row>
    <row r="110" spans="2:12" ht="13.5">
      <c r="B110" s="153">
        <v>1243</v>
      </c>
      <c r="C110" s="457" t="s">
        <v>1385</v>
      </c>
      <c r="D110" s="458"/>
      <c r="E110" s="458"/>
      <c r="F110" s="458"/>
      <c r="G110" s="458"/>
      <c r="H110" s="458"/>
      <c r="I110" s="150">
        <v>92</v>
      </c>
      <c r="J110" s="154"/>
      <c r="K110" s="155"/>
      <c r="L110" s="152" t="str">
        <f t="shared" si="2"/>
        <v>-</v>
      </c>
    </row>
    <row r="111" spans="2:12" ht="13.5">
      <c r="B111" s="153">
        <v>1244</v>
      </c>
      <c r="C111" s="457" t="s">
        <v>1386</v>
      </c>
      <c r="D111" s="458"/>
      <c r="E111" s="458"/>
      <c r="F111" s="458"/>
      <c r="G111" s="458"/>
      <c r="H111" s="458"/>
      <c r="I111" s="150">
        <v>93</v>
      </c>
      <c r="J111" s="154"/>
      <c r="K111" s="155"/>
      <c r="L111" s="152" t="str">
        <f t="shared" si="2"/>
        <v>-</v>
      </c>
    </row>
    <row r="112" spans="2:12" ht="13.5">
      <c r="B112" s="153">
        <v>1245</v>
      </c>
      <c r="C112" s="457" t="s">
        <v>1387</v>
      </c>
      <c r="D112" s="458"/>
      <c r="E112" s="458"/>
      <c r="F112" s="458"/>
      <c r="G112" s="458"/>
      <c r="H112" s="458"/>
      <c r="I112" s="150">
        <v>94</v>
      </c>
      <c r="J112" s="154"/>
      <c r="K112" s="155"/>
      <c r="L112" s="152" t="str">
        <f t="shared" si="2"/>
        <v>-</v>
      </c>
    </row>
    <row r="113" spans="2:12" ht="13.5">
      <c r="B113" s="153">
        <v>129</v>
      </c>
      <c r="C113" s="457" t="s">
        <v>1388</v>
      </c>
      <c r="D113" s="458"/>
      <c r="E113" s="458"/>
      <c r="F113" s="458"/>
      <c r="G113" s="458"/>
      <c r="H113" s="458"/>
      <c r="I113" s="150">
        <v>95</v>
      </c>
      <c r="J113" s="151">
        <f>SUM(J114:J117)</f>
        <v>5500</v>
      </c>
      <c r="K113" s="151">
        <f>SUM(K114:K117)</f>
        <v>5500</v>
      </c>
      <c r="L113" s="152">
        <f t="shared" si="2"/>
        <v>100</v>
      </c>
    </row>
    <row r="114" spans="2:12" ht="13.5">
      <c r="B114" s="153">
        <v>1291</v>
      </c>
      <c r="C114" s="457" t="s">
        <v>1389</v>
      </c>
      <c r="D114" s="458"/>
      <c r="E114" s="458"/>
      <c r="F114" s="458"/>
      <c r="G114" s="458"/>
      <c r="H114" s="458"/>
      <c r="I114" s="150">
        <v>96</v>
      </c>
      <c r="J114" s="154"/>
      <c r="K114" s="155"/>
      <c r="L114" s="152" t="str">
        <f t="shared" si="2"/>
        <v>-</v>
      </c>
    </row>
    <row r="115" spans="2:12" ht="13.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3.5">
      <c r="B116" s="153">
        <v>1293</v>
      </c>
      <c r="C116" s="457" t="s">
        <v>1391</v>
      </c>
      <c r="D116" s="458"/>
      <c r="E116" s="458"/>
      <c r="F116" s="458"/>
      <c r="G116" s="458"/>
      <c r="H116" s="458"/>
      <c r="I116" s="150">
        <v>98</v>
      </c>
      <c r="J116" s="154">
        <v>4500</v>
      </c>
      <c r="K116" s="155">
        <v>4500</v>
      </c>
      <c r="L116" s="152">
        <f t="shared" si="3"/>
        <v>100</v>
      </c>
    </row>
    <row r="117" spans="2:12" ht="13.5">
      <c r="B117" s="153">
        <v>1294</v>
      </c>
      <c r="C117" s="457" t="s">
        <v>1392</v>
      </c>
      <c r="D117" s="458"/>
      <c r="E117" s="458"/>
      <c r="F117" s="458"/>
      <c r="G117" s="458"/>
      <c r="H117" s="458"/>
      <c r="I117" s="150">
        <v>99</v>
      </c>
      <c r="J117" s="154">
        <v>1000</v>
      </c>
      <c r="K117" s="155">
        <v>1000</v>
      </c>
      <c r="L117" s="152">
        <f t="shared" si="3"/>
        <v>100</v>
      </c>
    </row>
    <row r="118" spans="2:12" ht="13.5">
      <c r="B118" s="153">
        <v>13</v>
      </c>
      <c r="C118" s="457" t="s">
        <v>1393</v>
      </c>
      <c r="D118" s="458"/>
      <c r="E118" s="458"/>
      <c r="F118" s="458"/>
      <c r="G118" s="458"/>
      <c r="H118" s="458"/>
      <c r="I118" s="150">
        <v>100</v>
      </c>
      <c r="J118" s="151">
        <f>SUM(J119:J121)-J122</f>
        <v>0</v>
      </c>
      <c r="K118" s="151">
        <f>SUM(K119:K121)-K122</f>
        <v>0</v>
      </c>
      <c r="L118" s="152" t="str">
        <f t="shared" si="3"/>
        <v>-</v>
      </c>
    </row>
    <row r="119" spans="2:12" ht="13.5">
      <c r="B119" s="153">
        <v>131</v>
      </c>
      <c r="C119" s="457" t="s">
        <v>1394</v>
      </c>
      <c r="D119" s="458"/>
      <c r="E119" s="458"/>
      <c r="F119" s="458"/>
      <c r="G119" s="458"/>
      <c r="H119" s="458"/>
      <c r="I119" s="150">
        <v>101</v>
      </c>
      <c r="J119" s="154"/>
      <c r="K119" s="155"/>
      <c r="L119" s="152" t="str">
        <f t="shared" si="3"/>
        <v>-</v>
      </c>
    </row>
    <row r="120" spans="2:12" ht="13.5">
      <c r="B120" s="153">
        <v>132</v>
      </c>
      <c r="C120" s="457" t="s">
        <v>1395</v>
      </c>
      <c r="D120" s="458"/>
      <c r="E120" s="458"/>
      <c r="F120" s="458"/>
      <c r="G120" s="458"/>
      <c r="H120" s="458"/>
      <c r="I120" s="150">
        <v>102</v>
      </c>
      <c r="J120" s="154"/>
      <c r="K120" s="155"/>
      <c r="L120" s="152" t="str">
        <f t="shared" si="3"/>
        <v>-</v>
      </c>
    </row>
    <row r="121" spans="2:12" ht="13.5">
      <c r="B121" s="153">
        <v>133</v>
      </c>
      <c r="C121" s="457" t="s">
        <v>1396</v>
      </c>
      <c r="D121" s="458"/>
      <c r="E121" s="458"/>
      <c r="F121" s="458"/>
      <c r="G121" s="458"/>
      <c r="H121" s="458"/>
      <c r="I121" s="150">
        <v>103</v>
      </c>
      <c r="J121" s="154"/>
      <c r="K121" s="155"/>
      <c r="L121" s="152" t="str">
        <f t="shared" si="3"/>
        <v>-</v>
      </c>
    </row>
    <row r="122" spans="2:12" ht="13.5">
      <c r="B122" s="153">
        <v>139</v>
      </c>
      <c r="C122" s="457" t="s">
        <v>1397</v>
      </c>
      <c r="D122" s="458"/>
      <c r="E122" s="458"/>
      <c r="F122" s="458"/>
      <c r="G122" s="458"/>
      <c r="H122" s="458"/>
      <c r="I122" s="150">
        <v>104</v>
      </c>
      <c r="J122" s="154"/>
      <c r="K122" s="155"/>
      <c r="L122" s="152" t="str">
        <f t="shared" si="3"/>
        <v>-</v>
      </c>
    </row>
    <row r="123" spans="2:12" ht="13.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479</v>
      </c>
      <c r="D124" s="458"/>
      <c r="E124" s="458"/>
      <c r="F124" s="458"/>
      <c r="G124" s="458"/>
      <c r="H124" s="458"/>
      <c r="I124" s="150">
        <v>106</v>
      </c>
      <c r="J124" s="151">
        <f>SUM(J125:J126)</f>
        <v>0</v>
      </c>
      <c r="K124" s="151">
        <f>SUM(K125:K126)</f>
        <v>0</v>
      </c>
      <c r="L124" s="152" t="str">
        <f t="shared" si="3"/>
        <v>-</v>
      </c>
    </row>
    <row r="125" spans="2:12" ht="13.5">
      <c r="B125" s="153">
        <v>1411</v>
      </c>
      <c r="C125" s="457" t="s">
        <v>480</v>
      </c>
      <c r="D125" s="458"/>
      <c r="E125" s="458"/>
      <c r="F125" s="458"/>
      <c r="G125" s="458"/>
      <c r="H125" s="458"/>
      <c r="I125" s="150">
        <v>107</v>
      </c>
      <c r="J125" s="154"/>
      <c r="K125" s="155"/>
      <c r="L125" s="152" t="str">
        <f t="shared" si="3"/>
        <v>-</v>
      </c>
    </row>
    <row r="126" spans="2:12" ht="13.5">
      <c r="B126" s="153">
        <v>1412</v>
      </c>
      <c r="C126" s="457" t="s">
        <v>481</v>
      </c>
      <c r="D126" s="458"/>
      <c r="E126" s="458"/>
      <c r="F126" s="458"/>
      <c r="G126" s="458"/>
      <c r="H126" s="458"/>
      <c r="I126" s="150">
        <v>108</v>
      </c>
      <c r="J126" s="154"/>
      <c r="K126" s="155"/>
      <c r="L126" s="152" t="str">
        <f t="shared" si="3"/>
        <v>-</v>
      </c>
    </row>
    <row r="127" spans="2:12" ht="13.5">
      <c r="B127" s="153">
        <v>142</v>
      </c>
      <c r="C127" s="457" t="s">
        <v>482</v>
      </c>
      <c r="D127" s="458"/>
      <c r="E127" s="458"/>
      <c r="F127" s="458"/>
      <c r="G127" s="458"/>
      <c r="H127" s="458"/>
      <c r="I127" s="150">
        <v>109</v>
      </c>
      <c r="J127" s="151">
        <f>SUM(J128:J129)</f>
        <v>0</v>
      </c>
      <c r="K127" s="151">
        <f>SUM(K128:K129)</f>
        <v>0</v>
      </c>
      <c r="L127" s="152" t="str">
        <f t="shared" si="3"/>
        <v>-</v>
      </c>
    </row>
    <row r="128" spans="2:12" ht="13.5">
      <c r="B128" s="153">
        <v>1421</v>
      </c>
      <c r="C128" s="457" t="s">
        <v>483</v>
      </c>
      <c r="D128" s="458"/>
      <c r="E128" s="458"/>
      <c r="F128" s="458"/>
      <c r="G128" s="458"/>
      <c r="H128" s="458"/>
      <c r="I128" s="150">
        <v>110</v>
      </c>
      <c r="J128" s="154"/>
      <c r="K128" s="155"/>
      <c r="L128" s="152" t="str">
        <f t="shared" si="3"/>
        <v>-</v>
      </c>
    </row>
    <row r="129" spans="2:12" ht="13.5">
      <c r="B129" s="153">
        <v>1422</v>
      </c>
      <c r="C129" s="457" t="s">
        <v>484</v>
      </c>
      <c r="D129" s="458"/>
      <c r="E129" s="458"/>
      <c r="F129" s="458"/>
      <c r="G129" s="458"/>
      <c r="H129" s="458"/>
      <c r="I129" s="150">
        <v>111</v>
      </c>
      <c r="J129" s="154"/>
      <c r="K129" s="155"/>
      <c r="L129" s="152" t="str">
        <f t="shared" si="3"/>
        <v>-</v>
      </c>
    </row>
    <row r="130" spans="2:12" ht="13.5">
      <c r="B130" s="153">
        <v>143</v>
      </c>
      <c r="C130" s="457" t="s">
        <v>485</v>
      </c>
      <c r="D130" s="458"/>
      <c r="E130" s="458"/>
      <c r="F130" s="458"/>
      <c r="G130" s="458"/>
      <c r="H130" s="458"/>
      <c r="I130" s="150">
        <v>112</v>
      </c>
      <c r="J130" s="151">
        <f>SUM(J131:J132)</f>
        <v>0</v>
      </c>
      <c r="K130" s="151">
        <f>SUM(K131:K132)</f>
        <v>0</v>
      </c>
      <c r="L130" s="152" t="str">
        <f t="shared" si="3"/>
        <v>-</v>
      </c>
    </row>
    <row r="131" spans="2:12" ht="13.5">
      <c r="B131" s="153">
        <v>1431</v>
      </c>
      <c r="C131" s="457" t="s">
        <v>486</v>
      </c>
      <c r="D131" s="458"/>
      <c r="E131" s="458"/>
      <c r="F131" s="458"/>
      <c r="G131" s="458"/>
      <c r="H131" s="458"/>
      <c r="I131" s="150">
        <v>113</v>
      </c>
      <c r="J131" s="154"/>
      <c r="K131" s="155"/>
      <c r="L131" s="152" t="str">
        <f t="shared" si="3"/>
        <v>-</v>
      </c>
    </row>
    <row r="132" spans="2:12" ht="13.5">
      <c r="B132" s="153">
        <v>1432</v>
      </c>
      <c r="C132" s="457" t="s">
        <v>487</v>
      </c>
      <c r="D132" s="458"/>
      <c r="E132" s="458"/>
      <c r="F132" s="458"/>
      <c r="G132" s="458"/>
      <c r="H132" s="458"/>
      <c r="I132" s="150">
        <v>114</v>
      </c>
      <c r="J132" s="154"/>
      <c r="K132" s="155"/>
      <c r="L132" s="152" t="str">
        <f t="shared" si="3"/>
        <v>-</v>
      </c>
    </row>
    <row r="133" spans="2:12" ht="13.5">
      <c r="B133" s="153">
        <v>144</v>
      </c>
      <c r="C133" s="457" t="s">
        <v>488</v>
      </c>
      <c r="D133" s="458"/>
      <c r="E133" s="458"/>
      <c r="F133" s="458"/>
      <c r="G133" s="458"/>
      <c r="H133" s="458"/>
      <c r="I133" s="150">
        <v>115</v>
      </c>
      <c r="J133" s="151">
        <f>SUM(J134:J135)</f>
        <v>0</v>
      </c>
      <c r="K133" s="151">
        <f>SUM(K134:K135)</f>
        <v>0</v>
      </c>
      <c r="L133" s="152" t="str">
        <f t="shared" si="3"/>
        <v>-</v>
      </c>
    </row>
    <row r="134" spans="2:12" ht="13.5">
      <c r="B134" s="153">
        <v>1441</v>
      </c>
      <c r="C134" s="457" t="s">
        <v>489</v>
      </c>
      <c r="D134" s="458"/>
      <c r="E134" s="458"/>
      <c r="F134" s="458"/>
      <c r="G134" s="458"/>
      <c r="H134" s="458"/>
      <c r="I134" s="150">
        <v>116</v>
      </c>
      <c r="J134" s="154"/>
      <c r="K134" s="155"/>
      <c r="L134" s="152" t="str">
        <f t="shared" si="3"/>
        <v>-</v>
      </c>
    </row>
    <row r="135" spans="2:12" ht="13.5">
      <c r="B135" s="153">
        <v>1442</v>
      </c>
      <c r="C135" s="457" t="s">
        <v>1308</v>
      </c>
      <c r="D135" s="458"/>
      <c r="E135" s="458"/>
      <c r="F135" s="458"/>
      <c r="G135" s="458"/>
      <c r="H135" s="458"/>
      <c r="I135" s="150">
        <v>117</v>
      </c>
      <c r="J135" s="154"/>
      <c r="K135" s="155"/>
      <c r="L135" s="152" t="str">
        <f t="shared" si="3"/>
        <v>-</v>
      </c>
    </row>
    <row r="136" spans="2:12" ht="13.5">
      <c r="B136" s="153">
        <v>145</v>
      </c>
      <c r="C136" s="457" t="s">
        <v>1309</v>
      </c>
      <c r="D136" s="458"/>
      <c r="E136" s="458"/>
      <c r="F136" s="458"/>
      <c r="G136" s="458"/>
      <c r="H136" s="458"/>
      <c r="I136" s="150">
        <v>118</v>
      </c>
      <c r="J136" s="151">
        <f>SUM(J137:J138)</f>
        <v>0</v>
      </c>
      <c r="K136" s="151">
        <f>SUM(K137:K138)</f>
        <v>0</v>
      </c>
      <c r="L136" s="152" t="str">
        <f t="shared" si="3"/>
        <v>-</v>
      </c>
    </row>
    <row r="137" spans="2:12" ht="13.5">
      <c r="B137" s="153">
        <v>1451</v>
      </c>
      <c r="C137" s="457" t="s">
        <v>1310</v>
      </c>
      <c r="D137" s="458"/>
      <c r="E137" s="458"/>
      <c r="F137" s="458"/>
      <c r="G137" s="458"/>
      <c r="H137" s="458"/>
      <c r="I137" s="150">
        <v>119</v>
      </c>
      <c r="J137" s="154"/>
      <c r="K137" s="155"/>
      <c r="L137" s="152" t="str">
        <f t="shared" si="3"/>
        <v>-</v>
      </c>
    </row>
    <row r="138" spans="2:12" ht="13.5">
      <c r="B138" s="153">
        <v>1452</v>
      </c>
      <c r="C138" s="457" t="s">
        <v>1311</v>
      </c>
      <c r="D138" s="458"/>
      <c r="E138" s="458"/>
      <c r="F138" s="458"/>
      <c r="G138" s="458"/>
      <c r="H138" s="458"/>
      <c r="I138" s="150">
        <v>120</v>
      </c>
      <c r="J138" s="154"/>
      <c r="K138" s="155"/>
      <c r="L138" s="152" t="str">
        <f t="shared" si="3"/>
        <v>-</v>
      </c>
    </row>
    <row r="139" spans="2:12" ht="13.5">
      <c r="B139" s="153">
        <v>146</v>
      </c>
      <c r="C139" s="457" t="s">
        <v>1312</v>
      </c>
      <c r="D139" s="458"/>
      <c r="E139" s="458"/>
      <c r="F139" s="458"/>
      <c r="G139" s="458"/>
      <c r="H139" s="458"/>
      <c r="I139" s="150">
        <v>121</v>
      </c>
      <c r="J139" s="151">
        <f>SUM(J140:J141)</f>
        <v>0</v>
      </c>
      <c r="K139" s="151">
        <f>SUM(K140:K141)</f>
        <v>0</v>
      </c>
      <c r="L139" s="152" t="str">
        <f t="shared" si="3"/>
        <v>-</v>
      </c>
    </row>
    <row r="140" spans="2:12" ht="13.5">
      <c r="B140" s="153">
        <v>1461</v>
      </c>
      <c r="C140" s="457" t="s">
        <v>1313</v>
      </c>
      <c r="D140" s="458"/>
      <c r="E140" s="458"/>
      <c r="F140" s="458"/>
      <c r="G140" s="458"/>
      <c r="H140" s="458"/>
      <c r="I140" s="150">
        <v>122</v>
      </c>
      <c r="J140" s="154"/>
      <c r="K140" s="155"/>
      <c r="L140" s="152" t="str">
        <f t="shared" si="3"/>
        <v>-</v>
      </c>
    </row>
    <row r="141" spans="2:12" ht="13.5">
      <c r="B141" s="153">
        <v>1462</v>
      </c>
      <c r="C141" s="457" t="s">
        <v>1314</v>
      </c>
      <c r="D141" s="458"/>
      <c r="E141" s="458"/>
      <c r="F141" s="458"/>
      <c r="G141" s="458"/>
      <c r="H141" s="458"/>
      <c r="I141" s="150">
        <v>123</v>
      </c>
      <c r="J141" s="154"/>
      <c r="K141" s="155"/>
      <c r="L141" s="152" t="str">
        <f t="shared" si="3"/>
        <v>-</v>
      </c>
    </row>
    <row r="142" spans="2:12" ht="13.5">
      <c r="B142" s="153">
        <v>149</v>
      </c>
      <c r="C142" s="457" t="s">
        <v>1315</v>
      </c>
      <c r="D142" s="458"/>
      <c r="E142" s="458"/>
      <c r="F142" s="458"/>
      <c r="G142" s="458"/>
      <c r="H142" s="458"/>
      <c r="I142" s="150">
        <v>124</v>
      </c>
      <c r="J142" s="154"/>
      <c r="K142" s="155"/>
      <c r="L142" s="152" t="str">
        <f t="shared" si="3"/>
        <v>-</v>
      </c>
    </row>
    <row r="143" spans="2:12" ht="13.5">
      <c r="B143" s="153">
        <v>15</v>
      </c>
      <c r="C143" s="457" t="s">
        <v>1316</v>
      </c>
      <c r="D143" s="458"/>
      <c r="E143" s="458"/>
      <c r="F143" s="458"/>
      <c r="G143" s="458"/>
      <c r="H143" s="458"/>
      <c r="I143" s="150">
        <v>125</v>
      </c>
      <c r="J143" s="151">
        <f>J144+J147-J150</f>
        <v>0</v>
      </c>
      <c r="K143" s="151">
        <f>K144+K147-K150</f>
        <v>0</v>
      </c>
      <c r="L143" s="152" t="str">
        <f t="shared" si="3"/>
        <v>-</v>
      </c>
    </row>
    <row r="144" spans="2:12" ht="13.5">
      <c r="B144" s="153">
        <v>151</v>
      </c>
      <c r="C144" s="457" t="s">
        <v>1317</v>
      </c>
      <c r="D144" s="458"/>
      <c r="E144" s="458"/>
      <c r="F144" s="458"/>
      <c r="G144" s="458"/>
      <c r="H144" s="458"/>
      <c r="I144" s="150">
        <v>126</v>
      </c>
      <c r="J144" s="151">
        <f>SUM(J145:J146)</f>
        <v>0</v>
      </c>
      <c r="K144" s="151">
        <f>SUM(K145:K146)</f>
        <v>0</v>
      </c>
      <c r="L144" s="152" t="str">
        <f t="shared" si="3"/>
        <v>-</v>
      </c>
    </row>
    <row r="145" spans="2:12" ht="13.5">
      <c r="B145" s="153">
        <v>1511</v>
      </c>
      <c r="C145" s="457" t="s">
        <v>1318</v>
      </c>
      <c r="D145" s="458"/>
      <c r="E145" s="458"/>
      <c r="F145" s="458"/>
      <c r="G145" s="458"/>
      <c r="H145" s="458"/>
      <c r="I145" s="150">
        <v>127</v>
      </c>
      <c r="J145" s="154"/>
      <c r="K145" s="155"/>
      <c r="L145" s="152" t="str">
        <f t="shared" si="3"/>
        <v>-</v>
      </c>
    </row>
    <row r="146" spans="2:12" ht="13.5">
      <c r="B146" s="153">
        <v>1512</v>
      </c>
      <c r="C146" s="457" t="s">
        <v>1319</v>
      </c>
      <c r="D146" s="458"/>
      <c r="E146" s="458"/>
      <c r="F146" s="458"/>
      <c r="G146" s="458"/>
      <c r="H146" s="458"/>
      <c r="I146" s="150">
        <v>128</v>
      </c>
      <c r="J146" s="154"/>
      <c r="K146" s="155"/>
      <c r="L146" s="152" t="str">
        <f t="shared" si="3"/>
        <v>-</v>
      </c>
    </row>
    <row r="147" spans="2:12" ht="13.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1321</v>
      </c>
      <c r="D148" s="458"/>
      <c r="E148" s="458"/>
      <c r="F148" s="458"/>
      <c r="G148" s="458"/>
      <c r="H148" s="458"/>
      <c r="I148" s="150">
        <v>130</v>
      </c>
      <c r="J148" s="154"/>
      <c r="K148" s="155"/>
      <c r="L148" s="152" t="str">
        <f t="shared" si="4"/>
        <v>-</v>
      </c>
    </row>
    <row r="149" spans="2:12" ht="13.5">
      <c r="B149" s="153">
        <v>1522</v>
      </c>
      <c r="C149" s="457" t="s">
        <v>1610</v>
      </c>
      <c r="D149" s="458"/>
      <c r="E149" s="458"/>
      <c r="F149" s="458"/>
      <c r="G149" s="458"/>
      <c r="H149" s="458"/>
      <c r="I149" s="150">
        <v>131</v>
      </c>
      <c r="J149" s="154"/>
      <c r="K149" s="155"/>
      <c r="L149" s="152" t="str">
        <f t="shared" si="4"/>
        <v>-</v>
      </c>
    </row>
    <row r="150" spans="2:12" ht="13.5">
      <c r="B150" s="153">
        <v>159</v>
      </c>
      <c r="C150" s="457" t="s">
        <v>2747</v>
      </c>
      <c r="D150" s="458"/>
      <c r="E150" s="458"/>
      <c r="F150" s="458"/>
      <c r="G150" s="458"/>
      <c r="H150" s="458"/>
      <c r="I150" s="150">
        <v>132</v>
      </c>
      <c r="J150" s="154"/>
      <c r="K150" s="155"/>
      <c r="L150" s="152" t="str">
        <f t="shared" si="4"/>
        <v>-</v>
      </c>
    </row>
    <row r="151" spans="2:12" ht="13.5">
      <c r="B151" s="153">
        <v>16</v>
      </c>
      <c r="C151" s="457" t="s">
        <v>2748</v>
      </c>
      <c r="D151" s="458"/>
      <c r="E151" s="458"/>
      <c r="F151" s="458"/>
      <c r="G151" s="458"/>
      <c r="H151" s="458"/>
      <c r="I151" s="150">
        <v>133</v>
      </c>
      <c r="J151" s="151">
        <f>SUM(J152:J155)+J158-J159</f>
        <v>84898</v>
      </c>
      <c r="K151" s="151">
        <f>SUM(K152:K155)+K158-K159</f>
        <v>112154</v>
      </c>
      <c r="L151" s="152">
        <f t="shared" si="4"/>
        <v>132.1044076421117</v>
      </c>
    </row>
    <row r="152" spans="2:12" ht="13.5">
      <c r="B152" s="153">
        <v>161</v>
      </c>
      <c r="C152" s="457" t="s">
        <v>2749</v>
      </c>
      <c r="D152" s="458"/>
      <c r="E152" s="458"/>
      <c r="F152" s="458"/>
      <c r="G152" s="458"/>
      <c r="H152" s="458"/>
      <c r="I152" s="150">
        <v>134</v>
      </c>
      <c r="J152" s="154">
        <v>84898</v>
      </c>
      <c r="K152" s="155">
        <v>112154</v>
      </c>
      <c r="L152" s="152">
        <f t="shared" si="4"/>
        <v>132.1044076421117</v>
      </c>
    </row>
    <row r="153" spans="2:12" ht="13.5">
      <c r="B153" s="153">
        <v>162</v>
      </c>
      <c r="C153" s="457" t="s">
        <v>2750</v>
      </c>
      <c r="D153" s="458"/>
      <c r="E153" s="458"/>
      <c r="F153" s="458"/>
      <c r="G153" s="458"/>
      <c r="H153" s="458"/>
      <c r="I153" s="150">
        <v>135</v>
      </c>
      <c r="J153" s="154"/>
      <c r="K153" s="155"/>
      <c r="L153" s="152" t="str">
        <f t="shared" si="4"/>
        <v>-</v>
      </c>
    </row>
    <row r="154" spans="2:12" ht="13.5">
      <c r="B154" s="153">
        <v>163</v>
      </c>
      <c r="C154" s="457" t="s">
        <v>2751</v>
      </c>
      <c r="D154" s="458"/>
      <c r="E154" s="458"/>
      <c r="F154" s="458"/>
      <c r="G154" s="458"/>
      <c r="H154" s="458"/>
      <c r="I154" s="150">
        <v>136</v>
      </c>
      <c r="J154" s="154"/>
      <c r="K154" s="155"/>
      <c r="L154" s="152" t="str">
        <f t="shared" si="4"/>
        <v>-</v>
      </c>
    </row>
    <row r="155" spans="2:12" ht="13.5">
      <c r="B155" s="153">
        <v>164</v>
      </c>
      <c r="C155" s="457" t="s">
        <v>2475</v>
      </c>
      <c r="D155" s="458"/>
      <c r="E155" s="458"/>
      <c r="F155" s="458"/>
      <c r="G155" s="458"/>
      <c r="H155" s="458"/>
      <c r="I155" s="150">
        <v>137</v>
      </c>
      <c r="J155" s="151">
        <f>SUM(J156:J157)</f>
        <v>0</v>
      </c>
      <c r="K155" s="151">
        <f>SUM(K156:K157)</f>
        <v>0</v>
      </c>
      <c r="L155" s="152" t="str">
        <f t="shared" si="4"/>
        <v>-</v>
      </c>
    </row>
    <row r="156" spans="2:12" ht="13.5">
      <c r="B156" s="153">
        <v>1641</v>
      </c>
      <c r="C156" s="457" t="s">
        <v>2476</v>
      </c>
      <c r="D156" s="458"/>
      <c r="E156" s="458"/>
      <c r="F156" s="458"/>
      <c r="G156" s="458"/>
      <c r="H156" s="458"/>
      <c r="I156" s="150">
        <v>138</v>
      </c>
      <c r="J156" s="154"/>
      <c r="K156" s="155"/>
      <c r="L156" s="152" t="str">
        <f t="shared" si="4"/>
        <v>-</v>
      </c>
    </row>
    <row r="157" spans="2:12" ht="13.5">
      <c r="B157" s="153">
        <v>1642</v>
      </c>
      <c r="C157" s="457" t="s">
        <v>2477</v>
      </c>
      <c r="D157" s="458"/>
      <c r="E157" s="458"/>
      <c r="F157" s="458"/>
      <c r="G157" s="458"/>
      <c r="H157" s="458"/>
      <c r="I157" s="150">
        <v>139</v>
      </c>
      <c r="J157" s="154"/>
      <c r="K157" s="155"/>
      <c r="L157" s="152" t="str">
        <f t="shared" si="4"/>
        <v>-</v>
      </c>
    </row>
    <row r="158" spans="2:12" ht="13.5">
      <c r="B158" s="153">
        <v>165</v>
      </c>
      <c r="C158" s="457" t="s">
        <v>1392</v>
      </c>
      <c r="D158" s="458"/>
      <c r="E158" s="458"/>
      <c r="F158" s="458"/>
      <c r="G158" s="458"/>
      <c r="H158" s="458"/>
      <c r="I158" s="150">
        <v>140</v>
      </c>
      <c r="J158" s="154"/>
      <c r="K158" s="155"/>
      <c r="L158" s="152" t="str">
        <f t="shared" si="4"/>
        <v>-</v>
      </c>
    </row>
    <row r="159" spans="2:12" ht="13.5">
      <c r="B159" s="153">
        <v>169</v>
      </c>
      <c r="C159" s="457" t="s">
        <v>2478</v>
      </c>
      <c r="D159" s="458"/>
      <c r="E159" s="458"/>
      <c r="F159" s="458"/>
      <c r="G159" s="458"/>
      <c r="H159" s="458"/>
      <c r="I159" s="150">
        <v>141</v>
      </c>
      <c r="J159" s="154"/>
      <c r="K159" s="155"/>
      <c r="L159" s="152" t="str">
        <f t="shared" si="4"/>
        <v>-</v>
      </c>
    </row>
    <row r="160" spans="2:12" ht="13.5">
      <c r="B160" s="153">
        <v>19</v>
      </c>
      <c r="C160" s="457" t="s">
        <v>2479</v>
      </c>
      <c r="D160" s="458"/>
      <c r="E160" s="458"/>
      <c r="F160" s="458"/>
      <c r="G160" s="458"/>
      <c r="H160" s="458"/>
      <c r="I160" s="150">
        <v>142</v>
      </c>
      <c r="J160" s="151">
        <f>SUM(J161:J162)</f>
        <v>0</v>
      </c>
      <c r="K160" s="151">
        <f>SUM(K161:K162)</f>
        <v>0</v>
      </c>
      <c r="L160" s="152" t="str">
        <f t="shared" si="4"/>
        <v>-</v>
      </c>
    </row>
    <row r="161" spans="2:12" ht="13.5">
      <c r="B161" s="153">
        <v>191</v>
      </c>
      <c r="C161" s="457" t="s">
        <v>2480</v>
      </c>
      <c r="D161" s="458"/>
      <c r="E161" s="458"/>
      <c r="F161" s="458"/>
      <c r="G161" s="458"/>
      <c r="H161" s="458"/>
      <c r="I161" s="150">
        <v>143</v>
      </c>
      <c r="J161" s="154"/>
      <c r="K161" s="155"/>
      <c r="L161" s="152" t="str">
        <f t="shared" si="4"/>
        <v>-</v>
      </c>
    </row>
    <row r="162" spans="2:12" ht="13.5">
      <c r="B162" s="156">
        <v>192</v>
      </c>
      <c r="C162" s="463" t="s">
        <v>2481</v>
      </c>
      <c r="D162" s="464"/>
      <c r="E162" s="464"/>
      <c r="F162" s="464"/>
      <c r="G162" s="464"/>
      <c r="H162" s="464"/>
      <c r="I162" s="157">
        <v>144</v>
      </c>
      <c r="J162" s="158"/>
      <c r="K162" s="159"/>
      <c r="L162" s="135" t="str">
        <f t="shared" si="4"/>
        <v>-</v>
      </c>
    </row>
    <row r="163" spans="2:12" s="27" customFormat="1" ht="12.75">
      <c r="B163" s="466" t="s">
        <v>2482</v>
      </c>
      <c r="C163" s="467"/>
      <c r="D163" s="467"/>
      <c r="E163" s="467"/>
      <c r="F163" s="467"/>
      <c r="G163" s="467"/>
      <c r="H163" s="467"/>
      <c r="I163" s="467"/>
      <c r="J163" s="467"/>
      <c r="K163" s="467"/>
      <c r="L163" s="468"/>
    </row>
    <row r="164" spans="2:12" ht="13.5">
      <c r="B164" s="146"/>
      <c r="C164" s="461" t="s">
        <v>2862</v>
      </c>
      <c r="D164" s="462"/>
      <c r="E164" s="462"/>
      <c r="F164" s="462"/>
      <c r="G164" s="462"/>
      <c r="H164" s="462"/>
      <c r="I164" s="147">
        <v>145</v>
      </c>
      <c r="J164" s="148">
        <f>J165+J214</f>
        <v>108241</v>
      </c>
      <c r="K164" s="148">
        <f>K165+K214</f>
        <v>129323</v>
      </c>
      <c r="L164" s="160">
        <f aca="true" t="shared" si="5" ref="L164:L195">IF(J164&gt;0,IF(K164/J164&gt;=100,"&gt;&gt;100",K164/J164*100),"-")</f>
        <v>119.47690801082769</v>
      </c>
    </row>
    <row r="165" spans="2:12" ht="13.5">
      <c r="B165" s="149">
        <v>2</v>
      </c>
      <c r="C165" s="459" t="s">
        <v>2483</v>
      </c>
      <c r="D165" s="460"/>
      <c r="E165" s="460"/>
      <c r="F165" s="460"/>
      <c r="G165" s="460"/>
      <c r="H165" s="460"/>
      <c r="I165" s="150">
        <v>146</v>
      </c>
      <c r="J165" s="151">
        <f>J166+J193+J201+J209</f>
        <v>73204</v>
      </c>
      <c r="K165" s="151">
        <f>K166+K193+K201+K209</f>
        <v>55862</v>
      </c>
      <c r="L165" s="161">
        <f t="shared" si="5"/>
        <v>76.31003770285777</v>
      </c>
    </row>
    <row r="166" spans="2:12" ht="13.5">
      <c r="B166" s="153">
        <v>24</v>
      </c>
      <c r="C166" s="457" t="s">
        <v>2484</v>
      </c>
      <c r="D166" s="458"/>
      <c r="E166" s="458"/>
      <c r="F166" s="458"/>
      <c r="G166" s="458"/>
      <c r="H166" s="458"/>
      <c r="I166" s="150">
        <v>147</v>
      </c>
      <c r="J166" s="151">
        <f>J167+J175+J183+J187+J188+J189</f>
        <v>55304</v>
      </c>
      <c r="K166" s="151">
        <f>K167+K175+K183+K187+K188+K189</f>
        <v>40258</v>
      </c>
      <c r="L166" s="161">
        <f t="shared" si="5"/>
        <v>72.79401128308983</v>
      </c>
    </row>
    <row r="167" spans="2:12" ht="13.5">
      <c r="B167" s="153">
        <v>241</v>
      </c>
      <c r="C167" s="457" t="s">
        <v>1702</v>
      </c>
      <c r="D167" s="458"/>
      <c r="E167" s="458"/>
      <c r="F167" s="458"/>
      <c r="G167" s="458"/>
      <c r="H167" s="458"/>
      <c r="I167" s="150">
        <v>148</v>
      </c>
      <c r="J167" s="151">
        <f>SUM(J168:J174)</f>
        <v>0</v>
      </c>
      <c r="K167" s="151">
        <f>SUM(K168:K174)</f>
        <v>0</v>
      </c>
      <c r="L167" s="161" t="str">
        <f t="shared" si="5"/>
        <v>-</v>
      </c>
    </row>
    <row r="168" spans="2:12" ht="13.5">
      <c r="B168" s="153">
        <v>2411</v>
      </c>
      <c r="C168" s="457" t="s">
        <v>1703</v>
      </c>
      <c r="D168" s="458"/>
      <c r="E168" s="458"/>
      <c r="F168" s="458"/>
      <c r="G168" s="458"/>
      <c r="H168" s="458"/>
      <c r="I168" s="150">
        <v>149</v>
      </c>
      <c r="J168" s="162"/>
      <c r="K168" s="163"/>
      <c r="L168" s="161" t="str">
        <f t="shared" si="5"/>
        <v>-</v>
      </c>
    </row>
    <row r="169" spans="2:12" ht="13.5">
      <c r="B169" s="153">
        <v>2412</v>
      </c>
      <c r="C169" s="457" t="s">
        <v>1704</v>
      </c>
      <c r="D169" s="458"/>
      <c r="E169" s="458"/>
      <c r="F169" s="458"/>
      <c r="G169" s="458"/>
      <c r="H169" s="458"/>
      <c r="I169" s="150">
        <v>150</v>
      </c>
      <c r="J169" s="162"/>
      <c r="K169" s="163"/>
      <c r="L169" s="161" t="str">
        <f t="shared" si="5"/>
        <v>-</v>
      </c>
    </row>
    <row r="170" spans="2:12" ht="13.5">
      <c r="B170" s="153">
        <v>2413</v>
      </c>
      <c r="C170" s="457" t="s">
        <v>1705</v>
      </c>
      <c r="D170" s="458"/>
      <c r="E170" s="458"/>
      <c r="F170" s="458"/>
      <c r="G170" s="458"/>
      <c r="H170" s="458"/>
      <c r="I170" s="150">
        <v>151</v>
      </c>
      <c r="J170" s="162"/>
      <c r="K170" s="163"/>
      <c r="L170" s="161" t="str">
        <f t="shared" si="5"/>
        <v>-</v>
      </c>
    </row>
    <row r="171" spans="2:12" ht="13.5">
      <c r="B171" s="153">
        <v>2414</v>
      </c>
      <c r="C171" s="457" t="s">
        <v>1706</v>
      </c>
      <c r="D171" s="458"/>
      <c r="E171" s="458"/>
      <c r="F171" s="458"/>
      <c r="G171" s="458"/>
      <c r="H171" s="458"/>
      <c r="I171" s="150">
        <v>152</v>
      </c>
      <c r="J171" s="162"/>
      <c r="K171" s="163"/>
      <c r="L171" s="161" t="str">
        <f t="shared" si="5"/>
        <v>-</v>
      </c>
    </row>
    <row r="172" spans="2:12" ht="13.5">
      <c r="B172" s="153">
        <v>2415</v>
      </c>
      <c r="C172" s="457" t="s">
        <v>1707</v>
      </c>
      <c r="D172" s="458"/>
      <c r="E172" s="458"/>
      <c r="F172" s="458"/>
      <c r="G172" s="458"/>
      <c r="H172" s="458"/>
      <c r="I172" s="150">
        <v>153</v>
      </c>
      <c r="J172" s="162"/>
      <c r="K172" s="163"/>
      <c r="L172" s="161" t="str">
        <f t="shared" si="5"/>
        <v>-</v>
      </c>
    </row>
    <row r="173" spans="2:12" ht="13.5">
      <c r="B173" s="153">
        <v>2416</v>
      </c>
      <c r="C173" s="457" t="s">
        <v>1708</v>
      </c>
      <c r="D173" s="458"/>
      <c r="E173" s="458"/>
      <c r="F173" s="458"/>
      <c r="G173" s="458"/>
      <c r="H173" s="458"/>
      <c r="I173" s="150">
        <v>154</v>
      </c>
      <c r="J173" s="162"/>
      <c r="K173" s="163"/>
      <c r="L173" s="161" t="str">
        <f t="shared" si="5"/>
        <v>-</v>
      </c>
    </row>
    <row r="174" spans="2:12" ht="13.5">
      <c r="B174" s="153">
        <v>2417</v>
      </c>
      <c r="C174" s="457" t="s">
        <v>1709</v>
      </c>
      <c r="D174" s="458"/>
      <c r="E174" s="458"/>
      <c r="F174" s="458"/>
      <c r="G174" s="458"/>
      <c r="H174" s="458"/>
      <c r="I174" s="150">
        <v>155</v>
      </c>
      <c r="J174" s="162"/>
      <c r="K174" s="163"/>
      <c r="L174" s="161" t="str">
        <f t="shared" si="5"/>
        <v>-</v>
      </c>
    </row>
    <row r="175" spans="2:12" ht="13.5">
      <c r="B175" s="153">
        <v>242</v>
      </c>
      <c r="C175" s="457" t="s">
        <v>1710</v>
      </c>
      <c r="D175" s="458"/>
      <c r="E175" s="458"/>
      <c r="F175" s="458"/>
      <c r="G175" s="458"/>
      <c r="H175" s="458"/>
      <c r="I175" s="150">
        <v>156</v>
      </c>
      <c r="J175" s="151">
        <f>SUM(J176:J182)</f>
        <v>55304</v>
      </c>
      <c r="K175" s="151">
        <f>SUM(K176:K182)</f>
        <v>40258</v>
      </c>
      <c r="L175" s="161">
        <f t="shared" si="5"/>
        <v>72.79401128308983</v>
      </c>
    </row>
    <row r="176" spans="2:12" ht="13.5">
      <c r="B176" s="153">
        <v>2421</v>
      </c>
      <c r="C176" s="457" t="s">
        <v>1711</v>
      </c>
      <c r="D176" s="458"/>
      <c r="E176" s="458"/>
      <c r="F176" s="458"/>
      <c r="G176" s="458"/>
      <c r="H176" s="458"/>
      <c r="I176" s="150">
        <v>157</v>
      </c>
      <c r="J176" s="162"/>
      <c r="K176" s="163"/>
      <c r="L176" s="161" t="str">
        <f t="shared" si="5"/>
        <v>-</v>
      </c>
    </row>
    <row r="177" spans="2:12" ht="13.5">
      <c r="B177" s="153">
        <v>2422</v>
      </c>
      <c r="C177" s="457" t="s">
        <v>1712</v>
      </c>
      <c r="D177" s="458"/>
      <c r="E177" s="458"/>
      <c r="F177" s="458"/>
      <c r="G177" s="458"/>
      <c r="H177" s="458"/>
      <c r="I177" s="150">
        <v>158</v>
      </c>
      <c r="J177" s="162"/>
      <c r="K177" s="163"/>
      <c r="L177" s="161" t="str">
        <f t="shared" si="5"/>
        <v>-</v>
      </c>
    </row>
    <row r="178" spans="2:12" ht="13.5">
      <c r="B178" s="153">
        <v>2423</v>
      </c>
      <c r="C178" s="457" t="s">
        <v>2524</v>
      </c>
      <c r="D178" s="458"/>
      <c r="E178" s="458"/>
      <c r="F178" s="458"/>
      <c r="G178" s="458"/>
      <c r="H178" s="458"/>
      <c r="I178" s="150">
        <v>159</v>
      </c>
      <c r="J178" s="162"/>
      <c r="K178" s="163"/>
      <c r="L178" s="161" t="str">
        <f t="shared" si="5"/>
        <v>-</v>
      </c>
    </row>
    <row r="179" spans="2:12" ht="13.5">
      <c r="B179" s="153">
        <v>2424</v>
      </c>
      <c r="C179" s="457" t="s">
        <v>2525</v>
      </c>
      <c r="D179" s="458"/>
      <c r="E179" s="458"/>
      <c r="F179" s="458"/>
      <c r="G179" s="458"/>
      <c r="H179" s="458"/>
      <c r="I179" s="150">
        <v>160</v>
      </c>
      <c r="J179" s="162"/>
      <c r="K179" s="163"/>
      <c r="L179" s="161" t="str">
        <f t="shared" si="5"/>
        <v>-</v>
      </c>
    </row>
    <row r="180" spans="2:12" ht="13.5">
      <c r="B180" s="153">
        <v>2425</v>
      </c>
      <c r="C180" s="457" t="s">
        <v>1713</v>
      </c>
      <c r="D180" s="458"/>
      <c r="E180" s="458"/>
      <c r="F180" s="458"/>
      <c r="G180" s="458"/>
      <c r="H180" s="458"/>
      <c r="I180" s="150">
        <v>161</v>
      </c>
      <c r="J180" s="162">
        <v>55304</v>
      </c>
      <c r="K180" s="163">
        <v>40258</v>
      </c>
      <c r="L180" s="161">
        <f t="shared" si="5"/>
        <v>72.79401128308983</v>
      </c>
    </row>
    <row r="181" spans="2:12" ht="13.5">
      <c r="B181" s="153">
        <v>2426</v>
      </c>
      <c r="C181" s="457" t="s">
        <v>1714</v>
      </c>
      <c r="D181" s="458"/>
      <c r="E181" s="458"/>
      <c r="F181" s="458"/>
      <c r="G181" s="458"/>
      <c r="H181" s="458"/>
      <c r="I181" s="150">
        <v>162</v>
      </c>
      <c r="J181" s="162"/>
      <c r="K181" s="163"/>
      <c r="L181" s="161" t="str">
        <f t="shared" si="5"/>
        <v>-</v>
      </c>
    </row>
    <row r="182" spans="2:12" ht="13.5">
      <c r="B182" s="153">
        <v>2429</v>
      </c>
      <c r="C182" s="457" t="s">
        <v>1715</v>
      </c>
      <c r="D182" s="458"/>
      <c r="E182" s="458"/>
      <c r="F182" s="458"/>
      <c r="G182" s="458"/>
      <c r="H182" s="458"/>
      <c r="I182" s="150">
        <v>163</v>
      </c>
      <c r="J182" s="162"/>
      <c r="K182" s="163"/>
      <c r="L182" s="161" t="str">
        <f t="shared" si="5"/>
        <v>-</v>
      </c>
    </row>
    <row r="183" spans="2:12" ht="13.5">
      <c r="B183" s="153">
        <v>244</v>
      </c>
      <c r="C183" s="457" t="s">
        <v>1716</v>
      </c>
      <c r="D183" s="458"/>
      <c r="E183" s="458"/>
      <c r="F183" s="458"/>
      <c r="G183" s="458"/>
      <c r="H183" s="458"/>
      <c r="I183" s="150">
        <v>164</v>
      </c>
      <c r="J183" s="151">
        <f>SUM(J184:J186)</f>
        <v>0</v>
      </c>
      <c r="K183" s="151">
        <f>SUM(K184:K186)</f>
        <v>0</v>
      </c>
      <c r="L183" s="161" t="str">
        <f t="shared" si="5"/>
        <v>-</v>
      </c>
    </row>
    <row r="184" spans="2:12" ht="13.5">
      <c r="B184" s="153">
        <v>2441</v>
      </c>
      <c r="C184" s="457" t="s">
        <v>1717</v>
      </c>
      <c r="D184" s="458"/>
      <c r="E184" s="458"/>
      <c r="F184" s="458"/>
      <c r="G184" s="458"/>
      <c r="H184" s="458"/>
      <c r="I184" s="150">
        <v>165</v>
      </c>
      <c r="J184" s="162"/>
      <c r="K184" s="163"/>
      <c r="L184" s="161" t="str">
        <f t="shared" si="5"/>
        <v>-</v>
      </c>
    </row>
    <row r="185" spans="2:12" ht="13.5">
      <c r="B185" s="153">
        <v>2442</v>
      </c>
      <c r="C185" s="457" t="s">
        <v>1718</v>
      </c>
      <c r="D185" s="458"/>
      <c r="E185" s="458"/>
      <c r="F185" s="458"/>
      <c r="G185" s="458"/>
      <c r="H185" s="458"/>
      <c r="I185" s="150">
        <v>166</v>
      </c>
      <c r="J185" s="162"/>
      <c r="K185" s="163"/>
      <c r="L185" s="161" t="str">
        <f t="shared" si="5"/>
        <v>-</v>
      </c>
    </row>
    <row r="186" spans="2:12" ht="13.5">
      <c r="B186" s="153">
        <v>2443</v>
      </c>
      <c r="C186" s="457" t="s">
        <v>1719</v>
      </c>
      <c r="D186" s="458"/>
      <c r="E186" s="458"/>
      <c r="F186" s="458"/>
      <c r="G186" s="458"/>
      <c r="H186" s="458"/>
      <c r="I186" s="150">
        <v>167</v>
      </c>
      <c r="J186" s="162"/>
      <c r="K186" s="163"/>
      <c r="L186" s="161" t="str">
        <f t="shared" si="5"/>
        <v>-</v>
      </c>
    </row>
    <row r="187" spans="2:12" ht="13.5">
      <c r="B187" s="153">
        <v>245</v>
      </c>
      <c r="C187" s="457" t="s">
        <v>1720</v>
      </c>
      <c r="D187" s="458"/>
      <c r="E187" s="458"/>
      <c r="F187" s="458"/>
      <c r="G187" s="458"/>
      <c r="H187" s="458"/>
      <c r="I187" s="150">
        <v>168</v>
      </c>
      <c r="J187" s="162"/>
      <c r="K187" s="163"/>
      <c r="L187" s="161" t="str">
        <f t="shared" si="5"/>
        <v>-</v>
      </c>
    </row>
    <row r="188" spans="2:12" ht="13.5">
      <c r="B188" s="153">
        <v>246</v>
      </c>
      <c r="C188" s="457" t="s">
        <v>771</v>
      </c>
      <c r="D188" s="458"/>
      <c r="E188" s="458"/>
      <c r="F188" s="458"/>
      <c r="G188" s="458"/>
      <c r="H188" s="458"/>
      <c r="I188" s="150">
        <v>169</v>
      </c>
      <c r="J188" s="162"/>
      <c r="K188" s="163"/>
      <c r="L188" s="161" t="str">
        <f t="shared" si="5"/>
        <v>-</v>
      </c>
    </row>
    <row r="189" spans="2:12" ht="13.5">
      <c r="B189" s="153">
        <v>249</v>
      </c>
      <c r="C189" s="457" t="s">
        <v>1721</v>
      </c>
      <c r="D189" s="458"/>
      <c r="E189" s="458"/>
      <c r="F189" s="458"/>
      <c r="G189" s="458"/>
      <c r="H189" s="458"/>
      <c r="I189" s="150">
        <v>170</v>
      </c>
      <c r="J189" s="151">
        <f>SUM(J190:J192)</f>
        <v>0</v>
      </c>
      <c r="K189" s="151">
        <f>SUM(K190:K192)</f>
        <v>0</v>
      </c>
      <c r="L189" s="161" t="str">
        <f t="shared" si="5"/>
        <v>-</v>
      </c>
    </row>
    <row r="190" spans="2:12" ht="13.5">
      <c r="B190" s="153">
        <v>2491</v>
      </c>
      <c r="C190" s="457" t="s">
        <v>2746</v>
      </c>
      <c r="D190" s="458"/>
      <c r="E190" s="458"/>
      <c r="F190" s="458"/>
      <c r="G190" s="458"/>
      <c r="H190" s="458"/>
      <c r="I190" s="150">
        <v>171</v>
      </c>
      <c r="J190" s="162"/>
      <c r="K190" s="163"/>
      <c r="L190" s="161" t="str">
        <f t="shared" si="5"/>
        <v>-</v>
      </c>
    </row>
    <row r="191" spans="2:12" ht="13.5">
      <c r="B191" s="153">
        <v>2492</v>
      </c>
      <c r="C191" s="457" t="s">
        <v>1621</v>
      </c>
      <c r="D191" s="458"/>
      <c r="E191" s="458"/>
      <c r="F191" s="458"/>
      <c r="G191" s="458"/>
      <c r="H191" s="458"/>
      <c r="I191" s="150">
        <v>172</v>
      </c>
      <c r="J191" s="162"/>
      <c r="K191" s="163"/>
      <c r="L191" s="161" t="str">
        <f t="shared" si="5"/>
        <v>-</v>
      </c>
    </row>
    <row r="192" spans="2:12" ht="13.5">
      <c r="B192" s="153">
        <v>2493</v>
      </c>
      <c r="C192" s="469" t="s">
        <v>1927</v>
      </c>
      <c r="D192" s="470"/>
      <c r="E192" s="470"/>
      <c r="F192" s="470"/>
      <c r="G192" s="470"/>
      <c r="H192" s="470"/>
      <c r="I192" s="150">
        <v>173</v>
      </c>
      <c r="J192" s="162"/>
      <c r="K192" s="163"/>
      <c r="L192" s="161" t="str">
        <f t="shared" si="5"/>
        <v>-</v>
      </c>
    </row>
    <row r="193" spans="2:12" ht="13.5">
      <c r="B193" s="153">
        <v>25</v>
      </c>
      <c r="C193" s="457" t="s">
        <v>1928</v>
      </c>
      <c r="D193" s="458"/>
      <c r="E193" s="458"/>
      <c r="F193" s="458"/>
      <c r="G193" s="458"/>
      <c r="H193" s="458"/>
      <c r="I193" s="150">
        <v>174</v>
      </c>
      <c r="J193" s="151">
        <f>J194+J197-J200</f>
        <v>0</v>
      </c>
      <c r="K193" s="151">
        <f>K194+K197-K200</f>
        <v>0</v>
      </c>
      <c r="L193" s="161" t="str">
        <f t="shared" si="5"/>
        <v>-</v>
      </c>
    </row>
    <row r="194" spans="2:12" ht="13.5">
      <c r="B194" s="153">
        <v>251</v>
      </c>
      <c r="C194" s="457" t="s">
        <v>1929</v>
      </c>
      <c r="D194" s="458"/>
      <c r="E194" s="458"/>
      <c r="F194" s="458"/>
      <c r="G194" s="458"/>
      <c r="H194" s="458"/>
      <c r="I194" s="150">
        <v>175</v>
      </c>
      <c r="J194" s="151">
        <f>SUM(J195:J196)</f>
        <v>0</v>
      </c>
      <c r="K194" s="151">
        <f>SUM(K195:K196)</f>
        <v>0</v>
      </c>
      <c r="L194" s="161" t="str">
        <f t="shared" si="5"/>
        <v>-</v>
      </c>
    </row>
    <row r="195" spans="2:12" ht="13.5">
      <c r="B195" s="153">
        <v>2511</v>
      </c>
      <c r="C195" s="457" t="s">
        <v>1930</v>
      </c>
      <c r="D195" s="458"/>
      <c r="E195" s="458"/>
      <c r="F195" s="458"/>
      <c r="G195" s="458"/>
      <c r="H195" s="458"/>
      <c r="I195" s="150">
        <v>176</v>
      </c>
      <c r="J195" s="162"/>
      <c r="K195" s="163"/>
      <c r="L195" s="161" t="str">
        <f t="shared" si="5"/>
        <v>-</v>
      </c>
    </row>
    <row r="196" spans="2:12" ht="13.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3.5">
      <c r="B197" s="153">
        <v>252</v>
      </c>
      <c r="C197" s="457" t="s">
        <v>1932</v>
      </c>
      <c r="D197" s="458"/>
      <c r="E197" s="458"/>
      <c r="F197" s="458"/>
      <c r="G197" s="458"/>
      <c r="H197" s="458"/>
      <c r="I197" s="150">
        <v>178</v>
      </c>
      <c r="J197" s="151">
        <f>SUM(J198:J199)</f>
        <v>0</v>
      </c>
      <c r="K197" s="151">
        <f>SUM(K198:K199)</f>
        <v>0</v>
      </c>
      <c r="L197" s="161" t="str">
        <f t="shared" si="6"/>
        <v>-</v>
      </c>
    </row>
    <row r="198" spans="2:12" ht="13.5">
      <c r="B198" s="153">
        <v>2521</v>
      </c>
      <c r="C198" s="457" t="s">
        <v>1933</v>
      </c>
      <c r="D198" s="458"/>
      <c r="E198" s="458"/>
      <c r="F198" s="458"/>
      <c r="G198" s="458"/>
      <c r="H198" s="458"/>
      <c r="I198" s="150">
        <v>179</v>
      </c>
      <c r="J198" s="162"/>
      <c r="K198" s="163"/>
      <c r="L198" s="161" t="str">
        <f t="shared" si="6"/>
        <v>-</v>
      </c>
    </row>
    <row r="199" spans="2:12" ht="13.5">
      <c r="B199" s="153">
        <v>2522</v>
      </c>
      <c r="C199" s="457" t="s">
        <v>1934</v>
      </c>
      <c r="D199" s="458"/>
      <c r="E199" s="458"/>
      <c r="F199" s="458"/>
      <c r="G199" s="458"/>
      <c r="H199" s="458"/>
      <c r="I199" s="150">
        <v>180</v>
      </c>
      <c r="J199" s="162"/>
      <c r="K199" s="163"/>
      <c r="L199" s="161" t="str">
        <f t="shared" si="6"/>
        <v>-</v>
      </c>
    </row>
    <row r="200" spans="2:12" ht="13.5">
      <c r="B200" s="153">
        <v>259</v>
      </c>
      <c r="C200" s="457" t="s">
        <v>1935</v>
      </c>
      <c r="D200" s="458"/>
      <c r="E200" s="458"/>
      <c r="F200" s="458"/>
      <c r="G200" s="458"/>
      <c r="H200" s="458"/>
      <c r="I200" s="150">
        <v>181</v>
      </c>
      <c r="J200" s="162"/>
      <c r="K200" s="163"/>
      <c r="L200" s="161" t="str">
        <f t="shared" si="6"/>
        <v>-</v>
      </c>
    </row>
    <row r="201" spans="2:12" ht="13.5">
      <c r="B201" s="153">
        <v>26</v>
      </c>
      <c r="C201" s="457" t="s">
        <v>1936</v>
      </c>
      <c r="D201" s="458"/>
      <c r="E201" s="458"/>
      <c r="F201" s="458"/>
      <c r="G201" s="458"/>
      <c r="H201" s="458"/>
      <c r="I201" s="150">
        <v>182</v>
      </c>
      <c r="J201" s="151">
        <f>J202+J205-J208</f>
        <v>17900</v>
      </c>
      <c r="K201" s="151">
        <f>K202+K205-K208</f>
        <v>15604</v>
      </c>
      <c r="L201" s="161">
        <f t="shared" si="6"/>
        <v>87.1731843575419</v>
      </c>
    </row>
    <row r="202" spans="2:12" ht="13.5">
      <c r="B202" s="153">
        <v>261</v>
      </c>
      <c r="C202" s="457" t="s">
        <v>1937</v>
      </c>
      <c r="D202" s="458"/>
      <c r="E202" s="458"/>
      <c r="F202" s="458"/>
      <c r="G202" s="458"/>
      <c r="H202" s="458"/>
      <c r="I202" s="150">
        <v>183</v>
      </c>
      <c r="J202" s="151">
        <f>SUM(J203:J204)</f>
        <v>0</v>
      </c>
      <c r="K202" s="151">
        <f>SUM(K203:K204)</f>
        <v>0</v>
      </c>
      <c r="L202" s="161" t="str">
        <f t="shared" si="6"/>
        <v>-</v>
      </c>
    </row>
    <row r="203" spans="2:12" ht="13.5">
      <c r="B203" s="153">
        <v>2611</v>
      </c>
      <c r="C203" s="457" t="s">
        <v>1938</v>
      </c>
      <c r="D203" s="458"/>
      <c r="E203" s="458"/>
      <c r="F203" s="458"/>
      <c r="G203" s="458"/>
      <c r="H203" s="458"/>
      <c r="I203" s="150">
        <v>184</v>
      </c>
      <c r="J203" s="162"/>
      <c r="K203" s="163"/>
      <c r="L203" s="161" t="str">
        <f t="shared" si="6"/>
        <v>-</v>
      </c>
    </row>
    <row r="204" spans="2:12" ht="13.5">
      <c r="B204" s="153">
        <v>2612</v>
      </c>
      <c r="C204" s="457" t="s">
        <v>1939</v>
      </c>
      <c r="D204" s="458"/>
      <c r="E204" s="458"/>
      <c r="F204" s="458"/>
      <c r="G204" s="458"/>
      <c r="H204" s="458"/>
      <c r="I204" s="150">
        <v>185</v>
      </c>
      <c r="J204" s="162"/>
      <c r="K204" s="163"/>
      <c r="L204" s="161" t="str">
        <f t="shared" si="6"/>
        <v>-</v>
      </c>
    </row>
    <row r="205" spans="2:12" ht="13.5">
      <c r="B205" s="153">
        <v>262</v>
      </c>
      <c r="C205" s="457" t="s">
        <v>1940</v>
      </c>
      <c r="D205" s="458"/>
      <c r="E205" s="458"/>
      <c r="F205" s="458"/>
      <c r="G205" s="458"/>
      <c r="H205" s="458"/>
      <c r="I205" s="150">
        <v>186</v>
      </c>
      <c r="J205" s="151">
        <f>SUM(J206:J207)</f>
        <v>17900</v>
      </c>
      <c r="K205" s="151">
        <f>SUM(K206:K207)</f>
        <v>15604</v>
      </c>
      <c r="L205" s="161">
        <f t="shared" si="6"/>
        <v>87.1731843575419</v>
      </c>
    </row>
    <row r="206" spans="2:12" ht="13.5">
      <c r="B206" s="153">
        <v>2621</v>
      </c>
      <c r="C206" s="457" t="s">
        <v>1941</v>
      </c>
      <c r="D206" s="458"/>
      <c r="E206" s="458"/>
      <c r="F206" s="458"/>
      <c r="G206" s="458"/>
      <c r="H206" s="458"/>
      <c r="I206" s="150">
        <v>187</v>
      </c>
      <c r="J206" s="162">
        <v>17900</v>
      </c>
      <c r="K206" s="163">
        <v>15604</v>
      </c>
      <c r="L206" s="161">
        <f t="shared" si="6"/>
        <v>87.1731843575419</v>
      </c>
    </row>
    <row r="207" spans="2:12" ht="13.5">
      <c r="B207" s="153">
        <v>2622</v>
      </c>
      <c r="C207" s="457" t="s">
        <v>1942</v>
      </c>
      <c r="D207" s="458"/>
      <c r="E207" s="458"/>
      <c r="F207" s="458"/>
      <c r="G207" s="458"/>
      <c r="H207" s="458"/>
      <c r="I207" s="150">
        <v>188</v>
      </c>
      <c r="J207" s="162"/>
      <c r="K207" s="163"/>
      <c r="L207" s="161" t="str">
        <f t="shared" si="6"/>
        <v>-</v>
      </c>
    </row>
    <row r="208" spans="2:12" ht="13.5">
      <c r="B208" s="153">
        <v>269</v>
      </c>
      <c r="C208" s="457" t="s">
        <v>1943</v>
      </c>
      <c r="D208" s="458"/>
      <c r="E208" s="458"/>
      <c r="F208" s="458"/>
      <c r="G208" s="458"/>
      <c r="H208" s="458"/>
      <c r="I208" s="150">
        <v>189</v>
      </c>
      <c r="J208" s="162"/>
      <c r="K208" s="163"/>
      <c r="L208" s="161" t="str">
        <f t="shared" si="6"/>
        <v>-</v>
      </c>
    </row>
    <row r="209" spans="2:12" ht="13.5">
      <c r="B209" s="153">
        <v>29</v>
      </c>
      <c r="C209" s="457" t="s">
        <v>772</v>
      </c>
      <c r="D209" s="458"/>
      <c r="E209" s="458"/>
      <c r="F209" s="458"/>
      <c r="G209" s="458"/>
      <c r="H209" s="458"/>
      <c r="I209" s="150">
        <v>190</v>
      </c>
      <c r="J209" s="151">
        <f>SUM(J210:J211)</f>
        <v>0</v>
      </c>
      <c r="K209" s="151">
        <f>SUM(K210:K211)</f>
        <v>0</v>
      </c>
      <c r="L209" s="161" t="str">
        <f t="shared" si="6"/>
        <v>-</v>
      </c>
    </row>
    <row r="210" spans="2:12" ht="13.5">
      <c r="B210" s="153">
        <v>291</v>
      </c>
      <c r="C210" s="457" t="s">
        <v>773</v>
      </c>
      <c r="D210" s="458"/>
      <c r="E210" s="458"/>
      <c r="F210" s="458"/>
      <c r="G210" s="458"/>
      <c r="H210" s="458"/>
      <c r="I210" s="150">
        <v>191</v>
      </c>
      <c r="J210" s="162"/>
      <c r="K210" s="163"/>
      <c r="L210" s="161" t="str">
        <f t="shared" si="6"/>
        <v>-</v>
      </c>
    </row>
    <row r="211" spans="2:12" ht="13.5">
      <c r="B211" s="153">
        <v>292</v>
      </c>
      <c r="C211" s="457" t="s">
        <v>774</v>
      </c>
      <c r="D211" s="458"/>
      <c r="E211" s="458"/>
      <c r="F211" s="458"/>
      <c r="G211" s="458"/>
      <c r="H211" s="458"/>
      <c r="I211" s="150">
        <v>192</v>
      </c>
      <c r="J211" s="151">
        <f>SUM(J212:J213)</f>
        <v>0</v>
      </c>
      <c r="K211" s="151">
        <f>SUM(K212:K213)</f>
        <v>0</v>
      </c>
      <c r="L211" s="161" t="str">
        <f t="shared" si="6"/>
        <v>-</v>
      </c>
    </row>
    <row r="212" spans="2:12" ht="13.5">
      <c r="B212" s="153">
        <v>2921</v>
      </c>
      <c r="C212" s="457" t="s">
        <v>775</v>
      </c>
      <c r="D212" s="458"/>
      <c r="E212" s="458"/>
      <c r="F212" s="458"/>
      <c r="G212" s="458"/>
      <c r="H212" s="458"/>
      <c r="I212" s="150">
        <v>193</v>
      </c>
      <c r="J212" s="162"/>
      <c r="K212" s="163"/>
      <c r="L212" s="161" t="str">
        <f t="shared" si="6"/>
        <v>-</v>
      </c>
    </row>
    <row r="213" spans="2:12" ht="13.5">
      <c r="B213" s="153">
        <v>2922</v>
      </c>
      <c r="C213" s="457" t="s">
        <v>776</v>
      </c>
      <c r="D213" s="458"/>
      <c r="E213" s="458"/>
      <c r="F213" s="458"/>
      <c r="G213" s="458"/>
      <c r="H213" s="458"/>
      <c r="I213" s="150">
        <v>194</v>
      </c>
      <c r="J213" s="162"/>
      <c r="K213" s="163"/>
      <c r="L213" s="161" t="str">
        <f t="shared" si="6"/>
        <v>-</v>
      </c>
    </row>
    <row r="214" spans="2:12" ht="13.5">
      <c r="B214" s="149">
        <v>5</v>
      </c>
      <c r="C214" s="459" t="s">
        <v>777</v>
      </c>
      <c r="D214" s="460"/>
      <c r="E214" s="460"/>
      <c r="F214" s="460"/>
      <c r="G214" s="460"/>
      <c r="H214" s="460"/>
      <c r="I214" s="150">
        <v>195</v>
      </c>
      <c r="J214" s="151">
        <f>J215+J218-J219</f>
        <v>35037</v>
      </c>
      <c r="K214" s="151">
        <f>K215+K218-K219</f>
        <v>73461</v>
      </c>
      <c r="L214" s="161">
        <f t="shared" si="6"/>
        <v>209.66692353797413</v>
      </c>
    </row>
    <row r="215" spans="2:12" ht="13.5">
      <c r="B215" s="153">
        <v>51</v>
      </c>
      <c r="C215" s="457" t="s">
        <v>778</v>
      </c>
      <c r="D215" s="458"/>
      <c r="E215" s="458"/>
      <c r="F215" s="458"/>
      <c r="G215" s="458"/>
      <c r="H215" s="458"/>
      <c r="I215" s="150">
        <v>196</v>
      </c>
      <c r="J215" s="151">
        <f>SUM(J216:J217)</f>
        <v>0</v>
      </c>
      <c r="K215" s="151">
        <f>SUM(K216:K217)</f>
        <v>0</v>
      </c>
      <c r="L215" s="161" t="str">
        <f t="shared" si="6"/>
        <v>-</v>
      </c>
    </row>
    <row r="216" spans="2:12" ht="13.5">
      <c r="B216" s="153">
        <v>511</v>
      </c>
      <c r="C216" s="457" t="s">
        <v>779</v>
      </c>
      <c r="D216" s="458"/>
      <c r="E216" s="458"/>
      <c r="F216" s="458"/>
      <c r="G216" s="458"/>
      <c r="H216" s="458"/>
      <c r="I216" s="150">
        <v>197</v>
      </c>
      <c r="J216" s="162"/>
      <c r="K216" s="163"/>
      <c r="L216" s="161" t="str">
        <f t="shared" si="6"/>
        <v>-</v>
      </c>
    </row>
    <row r="217" spans="2:12" ht="13.5">
      <c r="B217" s="153">
        <v>512</v>
      </c>
      <c r="C217" s="457" t="s">
        <v>780</v>
      </c>
      <c r="D217" s="458"/>
      <c r="E217" s="458"/>
      <c r="F217" s="458"/>
      <c r="G217" s="458"/>
      <c r="H217" s="458"/>
      <c r="I217" s="150">
        <v>198</v>
      </c>
      <c r="J217" s="162"/>
      <c r="K217" s="163"/>
      <c r="L217" s="161" t="str">
        <f t="shared" si="6"/>
        <v>-</v>
      </c>
    </row>
    <row r="218" spans="2:12" ht="13.5">
      <c r="B218" s="153">
        <v>5221</v>
      </c>
      <c r="C218" s="457" t="s">
        <v>781</v>
      </c>
      <c r="D218" s="458"/>
      <c r="E218" s="458"/>
      <c r="F218" s="458"/>
      <c r="G218" s="458"/>
      <c r="H218" s="458"/>
      <c r="I218" s="150">
        <v>199</v>
      </c>
      <c r="J218" s="162">
        <v>35037</v>
      </c>
      <c r="K218" s="163">
        <v>73461</v>
      </c>
      <c r="L218" s="161">
        <f t="shared" si="6"/>
        <v>209.66692353797413</v>
      </c>
    </row>
    <row r="219" spans="2:12" ht="13.5">
      <c r="B219" s="156">
        <v>5222</v>
      </c>
      <c r="C219" s="463" t="s">
        <v>782</v>
      </c>
      <c r="D219" s="464"/>
      <c r="E219" s="464"/>
      <c r="F219" s="464"/>
      <c r="G219" s="464"/>
      <c r="H219" s="464"/>
      <c r="I219" s="157">
        <v>200</v>
      </c>
      <c r="J219" s="164"/>
      <c r="K219" s="165"/>
      <c r="L219" s="166" t="str">
        <f t="shared" si="6"/>
        <v>-</v>
      </c>
    </row>
    <row r="220" spans="2:12" s="27" customFormat="1" ht="12.75">
      <c r="B220" s="466" t="s">
        <v>783</v>
      </c>
      <c r="C220" s="467"/>
      <c r="D220" s="467"/>
      <c r="E220" s="467"/>
      <c r="F220" s="467"/>
      <c r="G220" s="467"/>
      <c r="H220" s="467"/>
      <c r="I220" s="467"/>
      <c r="J220" s="467"/>
      <c r="K220" s="467"/>
      <c r="L220" s="468"/>
    </row>
    <row r="221" spans="2:12" ht="13.5">
      <c r="B221" s="167">
        <v>61</v>
      </c>
      <c r="C221" s="471" t="s">
        <v>784</v>
      </c>
      <c r="D221" s="472"/>
      <c r="E221" s="472"/>
      <c r="F221" s="472"/>
      <c r="G221" s="472"/>
      <c r="H221" s="472"/>
      <c r="I221" s="147">
        <v>201</v>
      </c>
      <c r="J221" s="168">
        <v>32000</v>
      </c>
      <c r="K221" s="169">
        <v>32000</v>
      </c>
      <c r="L221" s="134">
        <f>IF(J221&gt;0,IF(K221/J221&gt;=100,"&gt;&gt;100",K221/J221*100),"-")</f>
        <v>100</v>
      </c>
    </row>
    <row r="222" spans="2:12" ht="13.5">
      <c r="B222" s="156">
        <v>62</v>
      </c>
      <c r="C222" s="463" t="s">
        <v>785</v>
      </c>
      <c r="D222" s="464"/>
      <c r="E222" s="464"/>
      <c r="F222" s="464"/>
      <c r="G222" s="464"/>
      <c r="H222" s="464"/>
      <c r="I222" s="157">
        <v>202</v>
      </c>
      <c r="J222" s="170">
        <f>J221</f>
        <v>32000</v>
      </c>
      <c r="K222" s="170">
        <f>K221</f>
        <v>32000</v>
      </c>
      <c r="L222" s="135">
        <f>IF(J222&gt;0,IF(K222/J222&gt;=100,"&gt;&gt;100",K222/J222*100),"-")</f>
        <v>100</v>
      </c>
    </row>
    <row r="223" ht="13.5"/>
    <row r="224" spans="2:12" ht="13.5">
      <c r="B224" s="425"/>
      <c r="C224" s="425"/>
      <c r="D224" s="425"/>
      <c r="E224" s="426"/>
      <c r="F224" s="426"/>
      <c r="G224" s="426"/>
      <c r="H224" s="426"/>
      <c r="I224" s="119"/>
      <c r="J224" s="427" t="s">
        <v>1556</v>
      </c>
      <c r="K224" s="427"/>
      <c r="L224" s="427"/>
    </row>
    <row r="225" spans="2:12" ht="13.5">
      <c r="B225" s="105"/>
      <c r="C225" s="105"/>
      <c r="D225" s="105"/>
      <c r="E225" s="104"/>
      <c r="F225" s="104"/>
      <c r="G225" s="104"/>
      <c r="H225" s="104"/>
      <c r="I225" s="104"/>
      <c r="J225" s="104"/>
      <c r="K225" s="106"/>
      <c r="L225" s="104"/>
    </row>
    <row r="226" spans="2:12" ht="14.25" thickBot="1">
      <c r="B226" s="171" t="s">
        <v>2869</v>
      </c>
      <c r="C226" s="171"/>
      <c r="D226" s="447" t="str">
        <f>IF(RefStr!O4=1,IF(RefStr!D39&lt;&gt;"",RefStr!D39,""),"")</f>
        <v>MIRSAD SREBRENIKOVIĆ</v>
      </c>
      <c r="E226" s="447"/>
      <c r="F226" s="447"/>
      <c r="G226" s="447"/>
      <c r="H226" s="447"/>
      <c r="I226" s="173"/>
      <c r="J226" s="415"/>
      <c r="K226" s="415"/>
      <c r="L226" s="415"/>
    </row>
    <row r="227" spans="2:12" ht="14.25" thickBot="1">
      <c r="B227" s="386" t="s">
        <v>2870</v>
      </c>
      <c r="C227" s="386"/>
      <c r="D227" s="175">
        <f>IF(RefStr!O4=1,IF(RefStr!D41&lt;&gt;"",RefStr!D41,""),"")</f>
        <v>43514</v>
      </c>
      <c r="E227" s="176"/>
      <c r="F227" s="176"/>
      <c r="G227" s="176"/>
      <c r="H227" s="177"/>
      <c r="I227" s="178"/>
      <c r="J227" s="178"/>
      <c r="K227" s="179"/>
      <c r="L227" s="178"/>
    </row>
    <row r="228" spans="2:12" ht="14.25" thickBot="1">
      <c r="B228" s="398" t="s">
        <v>1649</v>
      </c>
      <c r="C228" s="398"/>
      <c r="D228" s="447" t="str">
        <f>IF(RefStr!O4=1,IF(RefStr!D43&lt;&gt;"",RefStr!D43,""),"")</f>
        <v>MELIKA TESKEREDŽIĆ</v>
      </c>
      <c r="E228" s="447"/>
      <c r="F228" s="447"/>
      <c r="G228" s="447"/>
      <c r="H228" s="171"/>
      <c r="I228" s="171"/>
      <c r="J228" s="171"/>
      <c r="K228" s="171"/>
      <c r="L228" s="171"/>
    </row>
    <row r="229" spans="2:12" ht="14.25" thickBot="1">
      <c r="B229" s="386" t="s">
        <v>1650</v>
      </c>
      <c r="C229" s="386"/>
      <c r="D229" s="445" t="str">
        <f>IF(RefStr!O4=1,IF(RefStr!D45&lt;&gt;"",RefStr!D45,""),"")</f>
        <v>0912121140</v>
      </c>
      <c r="E229" s="445"/>
      <c r="F229" s="171"/>
      <c r="G229" s="180"/>
      <c r="H229" s="180"/>
      <c r="I229" s="180"/>
      <c r="J229" s="180"/>
      <c r="K229" s="180"/>
      <c r="L229" s="180"/>
    </row>
    <row r="230" spans="2:12" ht="14.25" thickBot="1">
      <c r="B230" s="386" t="s">
        <v>41</v>
      </c>
      <c r="C230" s="386"/>
      <c r="D230" s="446">
        <f>IF(RefStr!O4=1,IF(RefStr!D47&lt;&gt;"",RefStr!D47,""),"")</f>
      </c>
      <c r="E230" s="446"/>
      <c r="F230" s="181"/>
      <c r="G230" s="181"/>
      <c r="H230" s="181"/>
      <c r="I230" s="181"/>
      <c r="J230" s="181"/>
      <c r="K230" s="180"/>
      <c r="L230" s="180"/>
    </row>
    <row r="231" spans="2:12" ht="14.25" thickBot="1">
      <c r="B231" s="386" t="s">
        <v>1651</v>
      </c>
      <c r="C231" s="386"/>
      <c r="D231" s="431">
        <f>IF(RefStr!O4=1,IF(RefStr!D49&lt;&gt;"",RefStr!D49,""),"")</f>
      </c>
      <c r="E231" s="431"/>
      <c r="F231" s="431"/>
      <c r="G231" s="431"/>
      <c r="H231" s="181"/>
      <c r="I231" s="181"/>
      <c r="J231" s="181"/>
      <c r="K231" s="181"/>
      <c r="L231" s="181"/>
    </row>
    <row r="232" ht="13.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Melika</cp:lastModifiedBy>
  <cp:lastPrinted>2019-01-14T12:51:57Z</cp:lastPrinted>
  <dcterms:created xsi:type="dcterms:W3CDTF">2001-11-21T09:32:18Z</dcterms:created>
  <dcterms:modified xsi:type="dcterms:W3CDTF">2019-02-17T13:22:14Z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